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charts/chart6.xml" ContentType="application/vnd.openxmlformats-officedocument.drawingml.chart+xml"/>
  <Override PartName="/xl/charts/chart7.xml" ContentType="application/vnd.openxmlformats-officedocument.drawingml.chart+xml"/>
  <Override PartName="/xl/comments7.xml" ContentType="application/vnd.openxmlformats-officedocument.spreadsheetml.comments+xml"/>
  <Override PartName="/xl/drawings/drawing5.xml" ContentType="application/vnd.openxmlformats-officedocument.drawing+xml"/>
  <Override PartName="/xl/comments8.xml" ContentType="application/vnd.openxmlformats-officedocument.spreadsheetml.comments+xml"/>
  <Override PartName="/xl/charts/chart8.xml" ContentType="application/vnd.openxmlformats-officedocument.drawingml.chart+xml"/>
  <Override PartName="/xl/charts/chart9.xml" ContentType="application/vnd.openxmlformats-officedocument.drawingml.chart+xml"/>
  <Override PartName="/xl/comments9.xml" ContentType="application/vnd.openxmlformats-officedocument.spreadsheetml.comments+xml"/>
  <Override PartName="/xl/drawings/drawing6.xml" ContentType="application/vnd.openxmlformats-officedocument.drawing+xml"/>
  <Override PartName="/xl/comments10.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charts/chart12.xml" ContentType="application/vnd.openxmlformats-officedocument.drawingml.chart+xml"/>
  <Override PartName="/xl/charts/chart13.xml" ContentType="application/vnd.openxmlformats-officedocument.drawingml.chart+xml"/>
  <Override PartName="/xl/comments13.xml" ContentType="application/vnd.openxmlformats-officedocument.spreadsheetml.comments+xml"/>
  <Override PartName="/xl/drawings/drawing8.xml" ContentType="application/vnd.openxmlformats-officedocument.drawing+xml"/>
  <Override PartName="/xl/comments14.xml" ContentType="application/vnd.openxmlformats-officedocument.spreadsheetml.comments+xml"/>
  <Override PartName="/xl/charts/chart14.xml" ContentType="application/vnd.openxmlformats-officedocument.drawingml.chart+xml"/>
  <Override PartName="/xl/charts/chart15.xml" ContentType="application/vnd.openxmlformats-officedocument.drawingml.chart+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drawings/drawing9.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omments34.xml" ContentType="application/vnd.openxmlformats-officedocument.spreadsheetml.comments+xml"/>
  <Override PartName="/xl/pivotTables/pivotTable1.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19.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charts/chart20.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3000" yWindow="330" windowWidth="12120" windowHeight="5370" firstSheet="52" activeTab="54"/>
  </bookViews>
  <sheets>
    <sheet name="Califica_POS_&lt;T60" sheetId="24" r:id="rId1"/>
    <sheet name="Califica_POS_T60" sheetId="132" r:id="rId2"/>
    <sheet name="Calificaciones" sheetId="22" r:id="rId3"/>
    <sheet name="Aportaciones" sheetId="114" r:id="rId4"/>
    <sheet name="Posessión" sheetId="9" r:id="rId5"/>
    <sheet name="Lliga-Copa" sheetId="11" r:id="rId6"/>
    <sheet name="EconomiaT36" sheetId="1" r:id="rId7"/>
    <sheet name="A-P_T36" sheetId="60" r:id="rId8"/>
    <sheet name="EconomiaT37" sheetId="58" r:id="rId9"/>
    <sheet name="A-P_T37" sheetId="61" r:id="rId10"/>
    <sheet name="EconomiaT38" sheetId="68" r:id="rId11"/>
    <sheet name="A-P_T38" sheetId="67" r:id="rId12"/>
    <sheet name="EconomiaT39" sheetId="72" r:id="rId13"/>
    <sheet name="A-P_T39" sheetId="74" r:id="rId14"/>
    <sheet name="EconomiaT40" sheetId="98" r:id="rId15"/>
    <sheet name="A-P_T40" sheetId="99" r:id="rId16"/>
    <sheet name="EconomiaT41" sheetId="100" r:id="rId17"/>
    <sheet name="A-P_T41" sheetId="101" r:id="rId18"/>
    <sheet name="EconomiaT42" sheetId="103" r:id="rId19"/>
    <sheet name="A-P_T42" sheetId="104" r:id="rId20"/>
    <sheet name="EconomiaT43" sheetId="107" r:id="rId21"/>
    <sheet name="A-P_T43" sheetId="108" r:id="rId22"/>
    <sheet name="EconomiaT44" sheetId="112" r:id="rId23"/>
    <sheet name="A-P_T44" sheetId="113" r:id="rId24"/>
    <sheet name="EconomiaT45" sheetId="118" r:id="rId25"/>
    <sheet name="A-P_T45" sheetId="119" r:id="rId26"/>
    <sheet name="EconomiaT46" sheetId="122" r:id="rId27"/>
    <sheet name="A-P_T46" sheetId="123" r:id="rId28"/>
    <sheet name="EconomiaT47" sheetId="134" r:id="rId29"/>
    <sheet name="A-P_T47" sheetId="133" r:id="rId30"/>
    <sheet name="EconomiaT48" sheetId="136" r:id="rId31"/>
    <sheet name="A-P_T48" sheetId="137" r:id="rId32"/>
    <sheet name="EconomiaT49" sheetId="139" r:id="rId33"/>
    <sheet name="A-P_T49" sheetId="140" r:id="rId34"/>
    <sheet name="EconomiaT50" sheetId="141" r:id="rId35"/>
    <sheet name="A-P_T50" sheetId="142" r:id="rId36"/>
    <sheet name="EconomiaT51" sheetId="144" r:id="rId37"/>
    <sheet name="A-P_T51" sheetId="145" r:id="rId38"/>
    <sheet name="Logros" sheetId="124" r:id="rId39"/>
    <sheet name="Aficion_Patro" sheetId="53" r:id="rId40"/>
    <sheet name="Des_Estadio" sheetId="138" r:id="rId41"/>
    <sheet name="Inv_estadio" sheetId="29" r:id="rId42"/>
    <sheet name="inca11" sheetId="37" r:id="rId43"/>
    <sheet name="CANTERA" sheetId="110" r:id="rId44"/>
    <sheet name="Lesion" sheetId="128" r:id="rId45"/>
    <sheet name="BP" sheetId="116" r:id="rId46"/>
    <sheet name="EvaluacionJugadores" sheetId="130" r:id="rId47"/>
    <sheet name="Entreno_Barbecho" sheetId="135" r:id="rId48"/>
    <sheet name="Portero" sheetId="41" r:id="rId49"/>
    <sheet name="Resistencia" sheetId="20" r:id="rId50"/>
    <sheet name="Denomin_Forma" sheetId="17" r:id="rId51"/>
    <sheet name="EEspeciales" sheetId="23" r:id="rId52"/>
    <sheet name="EEspecials_Manual" sheetId="84" r:id="rId53"/>
    <sheet name="Fidelidad" sheetId="25" r:id="rId54"/>
    <sheet name="Confianza_espiritu" sheetId="21" r:id="rId55"/>
    <sheet name="Sustituciones" sheetId="35" r:id="rId56"/>
    <sheet name="Pullback_Logros_confusionForm" sheetId="46" r:id="rId57"/>
    <sheet name="CosteNuevoEntrenador" sheetId="102" r:id="rId58"/>
    <sheet name="Entrenador" sheetId="59" r:id="rId59"/>
    <sheet name="TARJETAS" sheetId="143" r:id="rId60"/>
    <sheet name="XP" sheetId="121" r:id="rId61"/>
    <sheet name="Salarios_escuelaErcanto" sheetId="95" r:id="rId62"/>
    <sheet name="Federacion" sheetId="83" r:id="rId63"/>
    <sheet name="TACTICAS" sheetId="89" r:id="rId64"/>
    <sheet name="NivelMedioJuvenil" sheetId="90" r:id="rId65"/>
    <sheet name="Bajar%Entrenamiento" sheetId="92" r:id="rId66"/>
    <sheet name="Aficionados" sheetId="94" r:id="rId67"/>
    <sheet name="EstadisticaEntreno" sheetId="96" r:id="rId68"/>
  </sheets>
  <definedNames>
    <definedName name="_xlnm._FilterDatabase" localSheetId="7" hidden="1">'A-P_T36'!$I$2:$N$62</definedName>
    <definedName name="_xlnm._FilterDatabase" localSheetId="9" hidden="1">'A-P_T37'!$I$2:$P$54</definedName>
    <definedName name="_xlnm._FilterDatabase" localSheetId="11" hidden="1">'A-P_T38'!$I$2:$P$50</definedName>
    <definedName name="_xlnm._FilterDatabase" localSheetId="13" hidden="1">'A-P_T39'!$I$3:$T$81</definedName>
    <definedName name="_xlnm._FilterDatabase" localSheetId="15" hidden="1">'A-P_T40'!$I$3:$T$64</definedName>
    <definedName name="_xlnm._FilterDatabase" localSheetId="17" hidden="1">'A-P_T41'!$I$3:$T$45</definedName>
    <definedName name="_xlnm._FilterDatabase" localSheetId="19" hidden="1">'A-P_T42'!$I$3:$U$50</definedName>
    <definedName name="_xlnm._FilterDatabase" localSheetId="21" hidden="1">'A-P_T43'!$I$3:$T$83</definedName>
    <definedName name="_xlnm._FilterDatabase" localSheetId="23" hidden="1">'A-P_T44'!$I$3:$T$67</definedName>
    <definedName name="_xlnm._FilterDatabase" localSheetId="25" hidden="1">'A-P_T45'!$I$3:$T$33</definedName>
    <definedName name="_xlnm._FilterDatabase" localSheetId="27" hidden="1">'A-P_T46'!$I$3:$T$9</definedName>
    <definedName name="_xlnm._FilterDatabase" localSheetId="29" hidden="1">'A-P_T47'!$I$3:$S$80</definedName>
    <definedName name="_xlnm._FilterDatabase" localSheetId="31" hidden="1">'A-P_T48'!$I$3:$S$60</definedName>
    <definedName name="_xlnm._FilterDatabase" localSheetId="33" hidden="1">'A-P_T49'!$I$3:$S$45</definedName>
    <definedName name="_xlnm._FilterDatabase" localSheetId="35" hidden="1">'A-P_T50'!$I$3:$S$29</definedName>
    <definedName name="_xlnm._FilterDatabase" localSheetId="37" hidden="1">'A-P_T51'!$I$3:$S$16</definedName>
    <definedName name="_xlnm._FilterDatabase" localSheetId="47" hidden="1">Entreno_Barbecho!$A$1:$F$42</definedName>
  </definedNames>
  <calcPr calcId="152511"/>
  <pivotCaches>
    <pivotCache cacheId="0" r:id="rId69"/>
  </pivotCaches>
  <fileRecoveryPr autoRecover="0"/>
</workbook>
</file>

<file path=xl/calcChain.xml><?xml version="1.0" encoding="utf-8"?>
<calcChain xmlns="http://schemas.openxmlformats.org/spreadsheetml/2006/main">
  <c r="P37" i="144" l="1"/>
  <c r="P38" i="144" s="1"/>
  <c r="P36" i="144"/>
  <c r="P35" i="144"/>
  <c r="S26" i="145" l="1"/>
  <c r="T26" i="145" s="1"/>
  <c r="P26" i="145"/>
  <c r="N26" i="145"/>
  <c r="O26" i="145" s="1"/>
  <c r="P25" i="145" l="1"/>
  <c r="O25" i="145"/>
  <c r="N6" i="144"/>
  <c r="Q12" i="145" l="1"/>
  <c r="N12" i="145"/>
  <c r="L25" i="144" l="1"/>
  <c r="M25" i="144" s="1"/>
  <c r="M17" i="144"/>
  <c r="L16" i="144"/>
  <c r="L23" i="144" s="1"/>
  <c r="M15" i="144"/>
  <c r="L13" i="144"/>
  <c r="M13" i="144"/>
  <c r="L6" i="144"/>
  <c r="L5" i="144"/>
  <c r="L4" i="144"/>
  <c r="M4" i="144" s="1"/>
  <c r="L2" i="144"/>
  <c r="M2" i="144" s="1"/>
  <c r="M16" i="144" l="1"/>
  <c r="M23" i="144"/>
  <c r="L24" i="144"/>
  <c r="M5" i="144" s="1"/>
  <c r="N24" i="145"/>
  <c r="O24" i="145" s="1"/>
  <c r="S24" i="145"/>
  <c r="T24" i="145" s="1"/>
  <c r="P24" i="145"/>
  <c r="E6" i="144"/>
  <c r="F10" i="144"/>
  <c r="G6" i="144"/>
  <c r="H10" i="144"/>
  <c r="P23" i="145"/>
  <c r="O23" i="145"/>
  <c r="H19" i="144"/>
  <c r="N22" i="145"/>
  <c r="S22" i="145"/>
  <c r="T22" i="145" s="1"/>
  <c r="P22" i="145"/>
  <c r="O22" i="145"/>
  <c r="J6" i="144"/>
  <c r="S21" i="145"/>
  <c r="T21" i="145" s="1"/>
  <c r="P21" i="145"/>
  <c r="O21" i="145"/>
  <c r="F44" i="141"/>
  <c r="G44" i="141"/>
  <c r="H44" i="141"/>
  <c r="I44" i="141"/>
  <c r="J44" i="141"/>
  <c r="K44" i="141"/>
  <c r="D42" i="141"/>
  <c r="D43" i="141" s="1"/>
  <c r="E44" i="141" s="1"/>
  <c r="E18" i="144"/>
  <c r="F18" i="144" s="1"/>
  <c r="G18" i="144" s="1"/>
  <c r="H18" i="144" s="1"/>
  <c r="I18" i="144" s="1"/>
  <c r="J18" i="144" s="1"/>
  <c r="K18" i="144" s="1"/>
  <c r="G17" i="144"/>
  <c r="H17" i="144" s="1"/>
  <c r="I17" i="144" s="1"/>
  <c r="J17" i="144" s="1"/>
  <c r="K17" i="144" s="1"/>
  <c r="F17" i="144"/>
  <c r="D17" i="144"/>
  <c r="F15" i="144"/>
  <c r="G15" i="144" s="1"/>
  <c r="H15" i="144" s="1"/>
  <c r="I15" i="144" s="1"/>
  <c r="J15" i="144" s="1"/>
  <c r="K15" i="144" s="1"/>
  <c r="E15" i="144"/>
  <c r="Q16" i="145"/>
  <c r="N16" i="145"/>
  <c r="M24" i="144" l="1"/>
  <c r="D6" i="144"/>
  <c r="E4" i="144" l="1"/>
  <c r="P20" i="145"/>
  <c r="O20" i="145"/>
  <c r="P19" i="145"/>
  <c r="O19" i="145"/>
  <c r="N13" i="29"/>
  <c r="O13" i="29"/>
  <c r="P13" i="29"/>
  <c r="Q13" i="29"/>
  <c r="C18" i="29"/>
  <c r="D18" i="29"/>
  <c r="E18" i="29"/>
  <c r="F18" i="29"/>
  <c r="G18" i="29"/>
  <c r="H18" i="29"/>
  <c r="I18" i="29"/>
  <c r="J18" i="29"/>
  <c r="K18" i="29"/>
  <c r="L18" i="29"/>
  <c r="M18" i="29"/>
  <c r="N18" i="29"/>
  <c r="O18" i="29"/>
  <c r="P18" i="29"/>
  <c r="Q18" i="29"/>
  <c r="R18" i="29"/>
  <c r="S18" i="29"/>
  <c r="T18" i="29"/>
  <c r="U18" i="29"/>
  <c r="V18" i="29"/>
  <c r="W18" i="29"/>
  <c r="X18" i="29"/>
  <c r="Y18" i="29"/>
  <c r="Z18" i="29"/>
  <c r="AA18" i="29"/>
  <c r="AB18" i="29"/>
  <c r="AC18" i="29"/>
  <c r="AD18" i="29"/>
  <c r="C19" i="29"/>
  <c r="D19" i="29"/>
  <c r="E19" i="29"/>
  <c r="F19" i="29"/>
  <c r="G19" i="29"/>
  <c r="H19" i="29"/>
  <c r="I19" i="29"/>
  <c r="J19" i="29"/>
  <c r="K19" i="29"/>
  <c r="L19" i="29"/>
  <c r="M19" i="29"/>
  <c r="N19" i="29"/>
  <c r="O19" i="29"/>
  <c r="P19" i="29"/>
  <c r="Q19" i="29"/>
  <c r="R19" i="29"/>
  <c r="S19" i="29"/>
  <c r="T19" i="29"/>
  <c r="U19" i="29"/>
  <c r="V19" i="29"/>
  <c r="W19" i="29"/>
  <c r="X19" i="29"/>
  <c r="Y19" i="29"/>
  <c r="Z19" i="29"/>
  <c r="AA19" i="29"/>
  <c r="AB19" i="29"/>
  <c r="AC19" i="29"/>
  <c r="AD19" i="29"/>
  <c r="C20" i="29"/>
  <c r="D20" i="29"/>
  <c r="E20" i="29"/>
  <c r="F20" i="29"/>
  <c r="G20" i="29"/>
  <c r="H20" i="29"/>
  <c r="I20" i="29"/>
  <c r="J20" i="29"/>
  <c r="K20" i="29"/>
  <c r="L20" i="29"/>
  <c r="M20" i="29"/>
  <c r="N20" i="29"/>
  <c r="O20" i="29"/>
  <c r="P20" i="29"/>
  <c r="Q20" i="29"/>
  <c r="R20" i="29"/>
  <c r="S20" i="29"/>
  <c r="T20" i="29"/>
  <c r="U20" i="29"/>
  <c r="V20" i="29"/>
  <c r="W20" i="29"/>
  <c r="X20" i="29"/>
  <c r="Y20" i="29"/>
  <c r="Z20" i="29"/>
  <c r="AA20" i="29"/>
  <c r="AB20" i="29"/>
  <c r="AC20" i="29"/>
  <c r="AD20" i="29"/>
  <c r="C21" i="29"/>
  <c r="D21" i="29"/>
  <c r="E21" i="29"/>
  <c r="F21" i="29"/>
  <c r="G21" i="29"/>
  <c r="H21" i="29"/>
  <c r="I21" i="29"/>
  <c r="J21" i="29"/>
  <c r="K21" i="29"/>
  <c r="L21" i="29"/>
  <c r="M21" i="29"/>
  <c r="N21" i="29"/>
  <c r="O21" i="29"/>
  <c r="P21" i="29"/>
  <c r="Q21" i="29"/>
  <c r="R21" i="29"/>
  <c r="S21" i="29"/>
  <c r="T21" i="29"/>
  <c r="U21" i="29"/>
  <c r="V21" i="29"/>
  <c r="W21" i="29"/>
  <c r="X21" i="29"/>
  <c r="Y21" i="29"/>
  <c r="Z21" i="29"/>
  <c r="AA21" i="29"/>
  <c r="AB21" i="29"/>
  <c r="AC21" i="29"/>
  <c r="AD21" i="29"/>
  <c r="B21" i="29"/>
  <c r="B20" i="29"/>
  <c r="B19" i="29"/>
  <c r="B18" i="29"/>
  <c r="D16" i="29"/>
  <c r="E16" i="29"/>
  <c r="F16" i="29"/>
  <c r="G16" i="29"/>
  <c r="H16" i="29" s="1"/>
  <c r="I16" i="29" s="1"/>
  <c r="J16" i="29" s="1"/>
  <c r="K16" i="29" s="1"/>
  <c r="L16" i="29" s="1"/>
  <c r="M16" i="29" s="1"/>
  <c r="N16" i="29" s="1"/>
  <c r="O16" i="29" s="1"/>
  <c r="P16" i="29" s="1"/>
  <c r="Q16" i="29" s="1"/>
  <c r="R16" i="29" s="1"/>
  <c r="S16" i="29" s="1"/>
  <c r="T16" i="29" s="1"/>
  <c r="U16" i="29" s="1"/>
  <c r="V16" i="29" s="1"/>
  <c r="W16" i="29" s="1"/>
  <c r="X16" i="29" s="1"/>
  <c r="Y16" i="29" s="1"/>
  <c r="Z16" i="29" s="1"/>
  <c r="AA16" i="29" s="1"/>
  <c r="AB16" i="29" s="1"/>
  <c r="AC16" i="29" s="1"/>
  <c r="AD16" i="29" s="1"/>
  <c r="C16" i="29"/>
  <c r="S19" i="144" l="1"/>
  <c r="S20" i="144"/>
  <c r="S21" i="144"/>
  <c r="S22" i="144"/>
  <c r="C22" i="144" s="1"/>
  <c r="F29" i="145" s="1"/>
  <c r="S18" i="144"/>
  <c r="N15" i="144"/>
  <c r="O15" i="144" s="1"/>
  <c r="P15" i="144" s="1"/>
  <c r="Q15" i="144" s="1"/>
  <c r="R15" i="144" s="1"/>
  <c r="S15" i="144" s="1"/>
  <c r="N17" i="144"/>
  <c r="O17" i="144" s="1"/>
  <c r="P17" i="144" s="1"/>
  <c r="Q17" i="144" s="1"/>
  <c r="R17" i="144" s="1"/>
  <c r="S17" i="144" s="1"/>
  <c r="D15" i="144"/>
  <c r="Q14" i="144"/>
  <c r="R14" i="144" s="1"/>
  <c r="S14" i="144" s="1"/>
  <c r="S12" i="144"/>
  <c r="F9" i="145"/>
  <c r="F8" i="145"/>
  <c r="C21" i="145"/>
  <c r="C5" i="144"/>
  <c r="D2" i="144"/>
  <c r="C33" i="145"/>
  <c r="C34" i="145" s="1"/>
  <c r="P18" i="145"/>
  <c r="O18" i="145"/>
  <c r="P17" i="145"/>
  <c r="O17" i="145"/>
  <c r="P16" i="145"/>
  <c r="O16" i="145"/>
  <c r="F14" i="145"/>
  <c r="C15" i="145"/>
  <c r="F21" i="145"/>
  <c r="O15" i="145"/>
  <c r="K15" i="145"/>
  <c r="P15" i="145" s="1"/>
  <c r="C18" i="145"/>
  <c r="O14" i="145"/>
  <c r="K14" i="145"/>
  <c r="P14" i="145" s="1"/>
  <c r="P13" i="145"/>
  <c r="O13" i="145"/>
  <c r="P12" i="145"/>
  <c r="O12" i="145"/>
  <c r="F13" i="145"/>
  <c r="C12" i="145"/>
  <c r="P11" i="145"/>
  <c r="O11" i="145"/>
  <c r="P10" i="145"/>
  <c r="O10" i="145"/>
  <c r="P9" i="145"/>
  <c r="O9" i="145"/>
  <c r="P8" i="145"/>
  <c r="O8" i="145"/>
  <c r="P7" i="145"/>
  <c r="O7" i="145"/>
  <c r="P6" i="145"/>
  <c r="O6" i="145"/>
  <c r="P5" i="145"/>
  <c r="O5" i="145"/>
  <c r="P4" i="145"/>
  <c r="O4" i="145"/>
  <c r="B22" i="144"/>
  <c r="C21" i="144"/>
  <c r="F28" i="145" s="1"/>
  <c r="C20" i="144"/>
  <c r="C8" i="145" s="1"/>
  <c r="C19" i="144"/>
  <c r="F20" i="145" s="1"/>
  <c r="B18" i="144"/>
  <c r="B17" i="144"/>
  <c r="B15" i="144"/>
  <c r="B14" i="144"/>
  <c r="D13" i="144"/>
  <c r="C12" i="144"/>
  <c r="C25" i="145" s="1"/>
  <c r="C9" i="144"/>
  <c r="C8" i="144"/>
  <c r="C6" i="144"/>
  <c r="C26" i="145" s="1"/>
  <c r="D5" i="144"/>
  <c r="F4" i="144"/>
  <c r="D25" i="144"/>
  <c r="E25" i="144" s="1"/>
  <c r="F25" i="144" s="1"/>
  <c r="G25" i="144" s="1"/>
  <c r="H25" i="144" s="1"/>
  <c r="I25" i="144" s="1"/>
  <c r="J25" i="144" s="1"/>
  <c r="K25" i="144" s="1"/>
  <c r="N25" i="144" s="1"/>
  <c r="O25" i="144" s="1"/>
  <c r="P25" i="144" s="1"/>
  <c r="Q25" i="144" s="1"/>
  <c r="R25" i="144" s="1"/>
  <c r="S25" i="144" s="1"/>
  <c r="Q7" i="144" l="1"/>
  <c r="R7" i="144" s="1"/>
  <c r="S7" i="144" s="1"/>
  <c r="F13" i="144"/>
  <c r="E13" i="144"/>
  <c r="G4" i="144"/>
  <c r="H4" i="144" s="1"/>
  <c r="I4" i="144" s="1"/>
  <c r="J4" i="144" s="1"/>
  <c r="F19" i="145"/>
  <c r="N16" i="144"/>
  <c r="O16" i="144" s="1"/>
  <c r="P16" i="144" s="1"/>
  <c r="Q16" i="144" s="1"/>
  <c r="R16" i="144" s="1"/>
  <c r="S16" i="144" s="1"/>
  <c r="C14" i="144"/>
  <c r="F24" i="145" s="1"/>
  <c r="G13" i="144"/>
  <c r="H13" i="144"/>
  <c r="F12" i="145"/>
  <c r="C13" i="145"/>
  <c r="F15" i="145"/>
  <c r="C14" i="145"/>
  <c r="F16" i="145"/>
  <c r="F6" i="145"/>
  <c r="C19" i="145"/>
  <c r="C17" i="145" s="1"/>
  <c r="D23" i="144"/>
  <c r="E2" i="144"/>
  <c r="F2" i="144" s="1"/>
  <c r="G2" i="144" s="1"/>
  <c r="H2" i="144" s="1"/>
  <c r="I2" i="144" s="1"/>
  <c r="J2" i="144" s="1"/>
  <c r="K2" i="144" s="1"/>
  <c r="N2" i="144" s="1"/>
  <c r="O2" i="144" s="1"/>
  <c r="P2" i="144" s="1"/>
  <c r="Q2" i="144" s="1"/>
  <c r="R2" i="144" s="1"/>
  <c r="S2" i="144" s="1"/>
  <c r="S6" i="141"/>
  <c r="S11" i="141"/>
  <c r="C16" i="144" l="1"/>
  <c r="C7" i="145" s="1"/>
  <c r="C6" i="145" s="1"/>
  <c r="I13" i="144"/>
  <c r="C11" i="145"/>
  <c r="D24" i="144"/>
  <c r="E5" i="144" s="1"/>
  <c r="E23" i="144"/>
  <c r="C18" i="144"/>
  <c r="F27" i="145" s="1"/>
  <c r="C17" i="144"/>
  <c r="F26" i="145" s="1"/>
  <c r="K32" i="142"/>
  <c r="P32" i="142"/>
  <c r="O32" i="142"/>
  <c r="S19" i="141"/>
  <c r="Q24" i="142"/>
  <c r="N24" i="142"/>
  <c r="S8" i="141"/>
  <c r="K4" i="144" l="1"/>
  <c r="J13" i="144"/>
  <c r="R10" i="144"/>
  <c r="S10" i="144" s="1"/>
  <c r="C7" i="144"/>
  <c r="C27" i="145" s="1"/>
  <c r="E24" i="144"/>
  <c r="F5" i="144" s="1"/>
  <c r="F23" i="144"/>
  <c r="K13" i="144"/>
  <c r="Q12" i="142"/>
  <c r="N12" i="142"/>
  <c r="Q13" i="142"/>
  <c r="N13" i="142"/>
  <c r="P31" i="142"/>
  <c r="O31" i="142"/>
  <c r="C10" i="144" l="1"/>
  <c r="C28" i="145" s="1"/>
  <c r="N13" i="144"/>
  <c r="F24" i="144"/>
  <c r="G5" i="144" s="1"/>
  <c r="N4" i="144"/>
  <c r="O4" i="144" s="1"/>
  <c r="G23" i="144"/>
  <c r="Q18" i="142"/>
  <c r="N18" i="142"/>
  <c r="S12" i="141"/>
  <c r="R12" i="141"/>
  <c r="R10" i="141"/>
  <c r="R6" i="141"/>
  <c r="P4" i="144" l="1"/>
  <c r="P11" i="144"/>
  <c r="O13" i="144"/>
  <c r="H23" i="144"/>
  <c r="G24" i="144"/>
  <c r="H5" i="144" s="1"/>
  <c r="S30" i="142"/>
  <c r="T30" i="142" s="1"/>
  <c r="P30" i="142"/>
  <c r="O30" i="142"/>
  <c r="H24" i="144" l="1"/>
  <c r="I5" i="144" s="1"/>
  <c r="Q11" i="144"/>
  <c r="P13" i="144"/>
  <c r="Q4" i="144"/>
  <c r="R4" i="144" s="1"/>
  <c r="I23" i="144"/>
  <c r="N29" i="142"/>
  <c r="S29" i="142"/>
  <c r="T29" i="142" s="1"/>
  <c r="P29" i="142"/>
  <c r="O29" i="142"/>
  <c r="O11" i="141"/>
  <c r="O6" i="141"/>
  <c r="N10" i="141"/>
  <c r="M6" i="141"/>
  <c r="I24" i="144" l="1"/>
  <c r="J5" i="144" s="1"/>
  <c r="R11" i="144"/>
  <c r="S4" i="144" s="1"/>
  <c r="S11" i="144" s="1"/>
  <c r="S13" i="144" s="1"/>
  <c r="Q13" i="144"/>
  <c r="J23" i="144"/>
  <c r="S28" i="142"/>
  <c r="T28" i="142" s="1"/>
  <c r="P28" i="142"/>
  <c r="O28" i="142"/>
  <c r="J24" i="144" l="1"/>
  <c r="K5" i="144" s="1"/>
  <c r="R13" i="144"/>
  <c r="C13" i="144" s="1"/>
  <c r="C11" i="144"/>
  <c r="K23" i="144"/>
  <c r="M7" i="141"/>
  <c r="N7" i="141" s="1"/>
  <c r="O7" i="141" s="1"/>
  <c r="N27" i="142"/>
  <c r="T27" i="142"/>
  <c r="P27" i="142"/>
  <c r="O27" i="142"/>
  <c r="K24" i="144" l="1"/>
  <c r="C24" i="145"/>
  <c r="V11" i="144"/>
  <c r="V6" i="144"/>
  <c r="V8" i="144"/>
  <c r="U14" i="144"/>
  <c r="V7" i="144"/>
  <c r="V9" i="144"/>
  <c r="V10" i="144"/>
  <c r="V12" i="144"/>
  <c r="H6" i="141"/>
  <c r="V13" i="144" l="1"/>
  <c r="C23" i="145"/>
  <c r="Q14" i="142"/>
  <c r="N14" i="142"/>
  <c r="N5" i="144" l="1"/>
  <c r="C30" i="145"/>
  <c r="N23" i="144"/>
  <c r="E8" i="141"/>
  <c r="N22" i="142"/>
  <c r="Q21" i="142"/>
  <c r="N21" i="142"/>
  <c r="N24" i="144" l="1"/>
  <c r="O5" i="144" s="1"/>
  <c r="D19" i="145"/>
  <c r="D18" i="145"/>
  <c r="D7" i="145"/>
  <c r="D14" i="145"/>
  <c r="D27" i="145"/>
  <c r="D6" i="145"/>
  <c r="D11" i="145"/>
  <c r="D28" i="145"/>
  <c r="D15" i="145"/>
  <c r="D12" i="145"/>
  <c r="D17" i="145"/>
  <c r="D26" i="145"/>
  <c r="D21" i="145"/>
  <c r="D30" i="145"/>
  <c r="D9" i="145"/>
  <c r="D8" i="145"/>
  <c r="D25" i="145"/>
  <c r="D13" i="145"/>
  <c r="D24" i="145"/>
  <c r="D23" i="145"/>
  <c r="O23" i="144"/>
  <c r="Q20" i="142"/>
  <c r="Q23" i="142"/>
  <c r="N23" i="142"/>
  <c r="O24" i="144" l="1"/>
  <c r="P5" i="144" s="1"/>
  <c r="P23" i="144"/>
  <c r="P26" i="142"/>
  <c r="O26" i="142"/>
  <c r="N25" i="142"/>
  <c r="T25" i="142"/>
  <c r="P25" i="142"/>
  <c r="O25" i="142"/>
  <c r="D19" i="141"/>
  <c r="P24" i="144" l="1"/>
  <c r="Q5" i="144" s="1"/>
  <c r="Q23" i="144"/>
  <c r="R21" i="143"/>
  <c r="Q21" i="143"/>
  <c r="R20" i="143"/>
  <c r="Q20" i="143"/>
  <c r="R19" i="143"/>
  <c r="Q19" i="143"/>
  <c r="R18" i="143"/>
  <c r="Q18" i="143"/>
  <c r="R17" i="143"/>
  <c r="Q17" i="143"/>
  <c r="H18" i="143"/>
  <c r="H19" i="143"/>
  <c r="H20" i="143"/>
  <c r="H21" i="143"/>
  <c r="H17" i="143"/>
  <c r="G18" i="143"/>
  <c r="G19" i="143"/>
  <c r="G20" i="143"/>
  <c r="G21" i="143"/>
  <c r="G17" i="143"/>
  <c r="Q24" i="144" l="1"/>
  <c r="R5" i="144" s="1"/>
  <c r="R23" i="144"/>
  <c r="P24" i="142"/>
  <c r="O24" i="142"/>
  <c r="N20" i="142"/>
  <c r="R24" i="144" l="1"/>
  <c r="S5" i="144" s="1"/>
  <c r="S23" i="144"/>
  <c r="C23" i="144" s="1"/>
  <c r="C15" i="144"/>
  <c r="F25" i="145" s="1"/>
  <c r="F9" i="142"/>
  <c r="F9" i="140"/>
  <c r="F8" i="142" s="1"/>
  <c r="C21" i="142"/>
  <c r="K23" i="142"/>
  <c r="K22" i="142"/>
  <c r="K21" i="142"/>
  <c r="K20" i="142"/>
  <c r="K19" i="142"/>
  <c r="K18" i="142"/>
  <c r="K17" i="142"/>
  <c r="F15" i="141"/>
  <c r="G15" i="141"/>
  <c r="H15" i="141" s="1"/>
  <c r="I15" i="141" s="1"/>
  <c r="J15" i="141" s="1"/>
  <c r="K15" i="141" s="1"/>
  <c r="L15" i="141" s="1"/>
  <c r="M15" i="141" s="1"/>
  <c r="N15" i="141" s="1"/>
  <c r="O15" i="141" s="1"/>
  <c r="P15" i="141" s="1"/>
  <c r="Q15" i="141" s="1"/>
  <c r="R15" i="141" s="1"/>
  <c r="S15" i="141" s="1"/>
  <c r="F18" i="141"/>
  <c r="G18" i="141" s="1"/>
  <c r="H18" i="141" s="1"/>
  <c r="I18" i="141" s="1"/>
  <c r="J18" i="141" s="1"/>
  <c r="K18" i="141" s="1"/>
  <c r="L18" i="141" s="1"/>
  <c r="M18" i="141" s="1"/>
  <c r="N18" i="141" s="1"/>
  <c r="O18" i="141" s="1"/>
  <c r="P18" i="141" s="1"/>
  <c r="Q18" i="141" s="1"/>
  <c r="R18" i="141" s="1"/>
  <c r="S18" i="141" s="1"/>
  <c r="E18" i="141"/>
  <c r="D18" i="141"/>
  <c r="E17" i="141"/>
  <c r="F17" i="141" s="1"/>
  <c r="G17" i="141" s="1"/>
  <c r="H17" i="141" s="1"/>
  <c r="I17" i="141" s="1"/>
  <c r="J17" i="141" s="1"/>
  <c r="K17" i="141" s="1"/>
  <c r="M17" i="141" s="1"/>
  <c r="N17" i="141" s="1"/>
  <c r="O17" i="141" s="1"/>
  <c r="P17" i="141" s="1"/>
  <c r="Q17" i="141" s="1"/>
  <c r="R17" i="141" s="1"/>
  <c r="S17" i="141" s="1"/>
  <c r="D17" i="141"/>
  <c r="E15" i="141"/>
  <c r="D15" i="141"/>
  <c r="P23" i="142"/>
  <c r="O23" i="142"/>
  <c r="P22" i="142"/>
  <c r="O22" i="142"/>
  <c r="Q22" i="142" s="1"/>
  <c r="P21" i="142"/>
  <c r="O21" i="142"/>
  <c r="P20" i="142"/>
  <c r="O20" i="142"/>
  <c r="P19" i="142"/>
  <c r="O19" i="142"/>
  <c r="P18" i="142"/>
  <c r="O18" i="142"/>
  <c r="C33" i="142"/>
  <c r="P17" i="142"/>
  <c r="O17" i="142"/>
  <c r="F14" i="142"/>
  <c r="P16" i="142"/>
  <c r="O16" i="142"/>
  <c r="P15" i="142"/>
  <c r="O15" i="142"/>
  <c r="F21" i="142"/>
  <c r="P14" i="142"/>
  <c r="O14" i="142"/>
  <c r="C18" i="142"/>
  <c r="P13" i="142"/>
  <c r="O13" i="142"/>
  <c r="P12" i="142"/>
  <c r="O12" i="142"/>
  <c r="F13" i="142"/>
  <c r="P11" i="142"/>
  <c r="O11" i="142"/>
  <c r="C12" i="142"/>
  <c r="P10" i="142"/>
  <c r="O10" i="142"/>
  <c r="P9" i="142"/>
  <c r="O9" i="142"/>
  <c r="P8" i="142"/>
  <c r="O8" i="142"/>
  <c r="P7" i="142"/>
  <c r="O7" i="142"/>
  <c r="P6" i="142"/>
  <c r="O6" i="142"/>
  <c r="P5" i="142"/>
  <c r="C14" i="142" s="1"/>
  <c r="O5" i="142"/>
  <c r="F15" i="142" s="1"/>
  <c r="P4" i="142"/>
  <c r="O4" i="142"/>
  <c r="C5" i="141"/>
  <c r="D2" i="141"/>
  <c r="C22" i="141"/>
  <c r="F29" i="142" s="1"/>
  <c r="B22" i="141"/>
  <c r="C21" i="141"/>
  <c r="F28" i="142" s="1"/>
  <c r="C20" i="141"/>
  <c r="C8" i="142" s="1"/>
  <c r="C19" i="141"/>
  <c r="F20" i="142" s="1"/>
  <c r="B18" i="141"/>
  <c r="B17" i="141"/>
  <c r="C16" i="141"/>
  <c r="C7" i="142" s="1"/>
  <c r="C6" i="142" s="1"/>
  <c r="B15" i="141"/>
  <c r="B14" i="141"/>
  <c r="D13" i="141"/>
  <c r="C12" i="141"/>
  <c r="C25" i="142" s="1"/>
  <c r="C9" i="141"/>
  <c r="E13" i="141"/>
  <c r="C8" i="141"/>
  <c r="D5" i="141"/>
  <c r="E4" i="141"/>
  <c r="F4" i="141" s="1"/>
  <c r="G4" i="141" s="1"/>
  <c r="D25" i="141"/>
  <c r="E25" i="141" s="1"/>
  <c r="F25" i="141" s="1"/>
  <c r="G25" i="141" s="1"/>
  <c r="H25" i="141" s="1"/>
  <c r="I25" i="141" s="1"/>
  <c r="J25" i="141" s="1"/>
  <c r="K25" i="141" s="1"/>
  <c r="L25" i="141" s="1"/>
  <c r="M25" i="141" s="1"/>
  <c r="N25" i="141" s="1"/>
  <c r="O25" i="141" s="1"/>
  <c r="P25" i="141" s="1"/>
  <c r="Q25" i="141" s="1"/>
  <c r="R25" i="141" s="1"/>
  <c r="S25" i="141" s="1"/>
  <c r="Q16" i="140"/>
  <c r="N16" i="140"/>
  <c r="S11" i="139"/>
  <c r="F23" i="145" l="1"/>
  <c r="F17" i="145" s="1"/>
  <c r="V24" i="144"/>
  <c r="U35" i="144"/>
  <c r="V25" i="144"/>
  <c r="V28" i="144"/>
  <c r="V29" i="144"/>
  <c r="V30" i="144"/>
  <c r="V23" i="144"/>
  <c r="V31" i="144"/>
  <c r="V26" i="144"/>
  <c r="V27" i="144"/>
  <c r="C24" i="144"/>
  <c r="S24" i="144"/>
  <c r="H11" i="141"/>
  <c r="I11" i="141" s="1"/>
  <c r="J11" i="141" s="1"/>
  <c r="K11" i="141" s="1"/>
  <c r="L11" i="141" s="1"/>
  <c r="R11" i="141" s="1"/>
  <c r="H4" i="141"/>
  <c r="I4" i="141" s="1"/>
  <c r="J4" i="141" s="1"/>
  <c r="K4" i="141" s="1"/>
  <c r="L4" i="141" s="1"/>
  <c r="M4" i="141" s="1"/>
  <c r="N4" i="141" s="1"/>
  <c r="O4" i="141" s="1"/>
  <c r="P4" i="141" s="1"/>
  <c r="Q4" i="141" s="1"/>
  <c r="R4" i="141" s="1"/>
  <c r="S4" i="141" s="1"/>
  <c r="C11" i="141" s="1"/>
  <c r="C24" i="142" s="1"/>
  <c r="F19" i="142"/>
  <c r="F13" i="141"/>
  <c r="F6" i="142"/>
  <c r="C34" i="142"/>
  <c r="C15" i="142"/>
  <c r="G37" i="141" s="1"/>
  <c r="C13" i="142"/>
  <c r="R36" i="141" s="1"/>
  <c r="E35" i="141"/>
  <c r="I35" i="141"/>
  <c r="M35" i="141"/>
  <c r="Q35" i="141"/>
  <c r="D35" i="141"/>
  <c r="L35" i="141"/>
  <c r="F35" i="141"/>
  <c r="J35" i="141"/>
  <c r="N35" i="141"/>
  <c r="R35" i="141"/>
  <c r="G35" i="141"/>
  <c r="K35" i="141"/>
  <c r="O35" i="141"/>
  <c r="S35" i="141"/>
  <c r="H35" i="141"/>
  <c r="P35" i="141"/>
  <c r="C17" i="141"/>
  <c r="F26" i="142" s="1"/>
  <c r="D23" i="141"/>
  <c r="D24" i="141" s="1"/>
  <c r="E5" i="141" s="1"/>
  <c r="J14" i="141"/>
  <c r="F12" i="142"/>
  <c r="F16" i="142"/>
  <c r="C19" i="142"/>
  <c r="F23" i="141"/>
  <c r="C18" i="141"/>
  <c r="F27" i="142" s="1"/>
  <c r="E23" i="141"/>
  <c r="C6" i="141"/>
  <c r="C26" i="142" s="1"/>
  <c r="E2" i="141"/>
  <c r="F2" i="141" s="1"/>
  <c r="G2" i="141" s="1"/>
  <c r="H2" i="141" s="1"/>
  <c r="I2" i="141" s="1"/>
  <c r="J2" i="141" s="1"/>
  <c r="K2" i="141" s="1"/>
  <c r="L2" i="141" s="1"/>
  <c r="M2" i="141" s="1"/>
  <c r="N2" i="141" s="1"/>
  <c r="O2" i="141" s="1"/>
  <c r="P2" i="141" s="1"/>
  <c r="Q2" i="141" s="1"/>
  <c r="R2" i="141" s="1"/>
  <c r="S2" i="141" s="1"/>
  <c r="N17" i="140"/>
  <c r="F33" i="145" l="1"/>
  <c r="V34" i="144"/>
  <c r="G13" i="141"/>
  <c r="R37" i="141"/>
  <c r="R38" i="141" s="1"/>
  <c r="O37" i="141"/>
  <c r="H37" i="141"/>
  <c r="E37" i="141"/>
  <c r="N37" i="141"/>
  <c r="I37" i="141"/>
  <c r="D37" i="141"/>
  <c r="Q37" i="141"/>
  <c r="S37" i="141"/>
  <c r="P37" i="141"/>
  <c r="J37" i="141"/>
  <c r="K37" i="141"/>
  <c r="F37" i="141"/>
  <c r="L37" i="141"/>
  <c r="M37" i="141"/>
  <c r="N36" i="141"/>
  <c r="D36" i="141"/>
  <c r="G36" i="141"/>
  <c r="G38" i="141" s="1"/>
  <c r="I36" i="141"/>
  <c r="C11" i="142"/>
  <c r="P36" i="141"/>
  <c r="S36" i="141"/>
  <c r="M36" i="141"/>
  <c r="J36" i="141"/>
  <c r="L36" i="141"/>
  <c r="O36" i="141"/>
  <c r="O38" i="141" s="1"/>
  <c r="E36" i="141"/>
  <c r="F36" i="141"/>
  <c r="Q36" i="141"/>
  <c r="H36" i="141"/>
  <c r="K36" i="141"/>
  <c r="C14" i="141"/>
  <c r="F24" i="142" s="1"/>
  <c r="H13" i="141"/>
  <c r="C17" i="142"/>
  <c r="E24" i="141"/>
  <c r="F5" i="141" s="1"/>
  <c r="F24" i="141" s="1"/>
  <c r="G5" i="141" s="1"/>
  <c r="G23" i="141"/>
  <c r="P39" i="140"/>
  <c r="O39" i="140"/>
  <c r="P38" i="140"/>
  <c r="O38" i="140"/>
  <c r="P37" i="140"/>
  <c r="O37" i="140"/>
  <c r="R7" i="139"/>
  <c r="F11" i="145" l="1"/>
  <c r="F30" i="145" s="1"/>
  <c r="G17" i="145" s="1"/>
  <c r="H38" i="141"/>
  <c r="D38" i="141"/>
  <c r="N38" i="141"/>
  <c r="E38" i="141"/>
  <c r="F38" i="141"/>
  <c r="S38" i="141"/>
  <c r="L38" i="141"/>
  <c r="K38" i="141"/>
  <c r="I38" i="141"/>
  <c r="Q38" i="141"/>
  <c r="P38" i="141"/>
  <c r="M38" i="141"/>
  <c r="J38" i="141"/>
  <c r="I13" i="141"/>
  <c r="G24" i="141"/>
  <c r="H5" i="141" s="1"/>
  <c r="H23" i="141"/>
  <c r="Q7" i="139"/>
  <c r="P36" i="140"/>
  <c r="O36" i="140"/>
  <c r="P6" i="139"/>
  <c r="G11" i="145" l="1"/>
  <c r="F31" i="145"/>
  <c r="G15" i="145"/>
  <c r="G28" i="145"/>
  <c r="G9" i="145"/>
  <c r="G26" i="145"/>
  <c r="G7" i="145"/>
  <c r="G27" i="145"/>
  <c r="G6" i="145"/>
  <c r="G19" i="145"/>
  <c r="G20" i="145"/>
  <c r="G8" i="145"/>
  <c r="G13" i="145"/>
  <c r="G29" i="145"/>
  <c r="G21" i="145"/>
  <c r="G24" i="145"/>
  <c r="G16" i="145"/>
  <c r="G14" i="145"/>
  <c r="G30" i="145"/>
  <c r="G12" i="145"/>
  <c r="G25" i="145"/>
  <c r="G23" i="145"/>
  <c r="J13" i="141"/>
  <c r="H24" i="141"/>
  <c r="I5" i="141" s="1"/>
  <c r="C7" i="141"/>
  <c r="C27" i="142" s="1"/>
  <c r="I23" i="141"/>
  <c r="P7" i="139"/>
  <c r="K13" i="141" l="1"/>
  <c r="I24" i="141"/>
  <c r="J5" i="141" s="1"/>
  <c r="J23" i="141"/>
  <c r="O7" i="139"/>
  <c r="N25" i="139"/>
  <c r="O25" i="139" s="1"/>
  <c r="N18" i="139"/>
  <c r="O18" i="139" s="1"/>
  <c r="N15" i="139"/>
  <c r="O15" i="139" s="1"/>
  <c r="O23" i="139"/>
  <c r="N7" i="139"/>
  <c r="N13" i="139" s="1"/>
  <c r="N5" i="139"/>
  <c r="N4" i="139"/>
  <c r="O4" i="139" s="1"/>
  <c r="O2" i="139"/>
  <c r="N2" i="139"/>
  <c r="L13" i="141" l="1"/>
  <c r="J24" i="141"/>
  <c r="K5" i="141" s="1"/>
  <c r="K23" i="141"/>
  <c r="O13" i="139"/>
  <c r="N23" i="139"/>
  <c r="N24" i="139" s="1"/>
  <c r="O5" i="139" s="1"/>
  <c r="N35" i="140"/>
  <c r="S35" i="140"/>
  <c r="T35" i="140" s="1"/>
  <c r="P35" i="140"/>
  <c r="O35" i="140"/>
  <c r="P34" i="140"/>
  <c r="O34" i="140"/>
  <c r="P33" i="140"/>
  <c r="O33" i="140"/>
  <c r="M19" i="139"/>
  <c r="M6" i="139"/>
  <c r="M13" i="141" l="1"/>
  <c r="K24" i="141"/>
  <c r="L5" i="141" s="1"/>
  <c r="L23" i="141"/>
  <c r="O24" i="139"/>
  <c r="Q15" i="140"/>
  <c r="N15" i="140"/>
  <c r="M8" i="139"/>
  <c r="M7" i="139"/>
  <c r="S32" i="140"/>
  <c r="N32" i="140"/>
  <c r="T32" i="140"/>
  <c r="P32" i="140"/>
  <c r="O32" i="140"/>
  <c r="K6" i="139"/>
  <c r="N13" i="141" l="1"/>
  <c r="L24" i="141"/>
  <c r="M5" i="141" s="1"/>
  <c r="M23" i="141"/>
  <c r="U2" i="95"/>
  <c r="T2" i="95"/>
  <c r="S5" i="95"/>
  <c r="R5" i="95"/>
  <c r="Q5" i="95"/>
  <c r="O13" i="141" l="1"/>
  <c r="M24" i="141"/>
  <c r="N5" i="141" s="1"/>
  <c r="N23" i="141"/>
  <c r="V2" i="95"/>
  <c r="H6" i="139"/>
  <c r="P31" i="140"/>
  <c r="O31" i="140"/>
  <c r="Q4" i="140"/>
  <c r="N4" i="140"/>
  <c r="N30" i="140"/>
  <c r="T30" i="140"/>
  <c r="P30" i="140"/>
  <c r="O30" i="140"/>
  <c r="P13" i="141" l="1"/>
  <c r="N24" i="141"/>
  <c r="O5" i="141" s="1"/>
  <c r="O23" i="141"/>
  <c r="T29" i="140"/>
  <c r="P29" i="140"/>
  <c r="O29" i="140"/>
  <c r="F8" i="139"/>
  <c r="O24" i="141" l="1"/>
  <c r="P5" i="141" s="1"/>
  <c r="Q13" i="141"/>
  <c r="P23" i="141"/>
  <c r="Q22" i="140"/>
  <c r="N22" i="140"/>
  <c r="E10" i="139"/>
  <c r="E8" i="139"/>
  <c r="Q24" i="140"/>
  <c r="N24" i="140"/>
  <c r="P24" i="141" l="1"/>
  <c r="Q5" i="141" s="1"/>
  <c r="R13" i="141"/>
  <c r="Q23" i="141"/>
  <c r="Q20" i="140"/>
  <c r="N20" i="140"/>
  <c r="Q19" i="140"/>
  <c r="N19" i="140"/>
  <c r="Q23" i="140"/>
  <c r="N23" i="140"/>
  <c r="Q21" i="140"/>
  <c r="N21" i="140"/>
  <c r="N28" i="140"/>
  <c r="T28" i="140"/>
  <c r="P28" i="140"/>
  <c r="O28" i="140"/>
  <c r="Q24" i="141" l="1"/>
  <c r="R5" i="141" s="1"/>
  <c r="S13" i="141"/>
  <c r="C13" i="141" s="1"/>
  <c r="C10" i="141"/>
  <c r="C28" i="142" s="1"/>
  <c r="R23" i="141"/>
  <c r="N27" i="140"/>
  <c r="T27" i="140"/>
  <c r="P27" i="140"/>
  <c r="O27" i="140"/>
  <c r="F14" i="140" s="1"/>
  <c r="F18" i="139"/>
  <c r="G18" i="139" s="1"/>
  <c r="H18" i="139" s="1"/>
  <c r="I18" i="139" s="1"/>
  <c r="J18" i="139" s="1"/>
  <c r="K18" i="139" s="1"/>
  <c r="L18" i="139" s="1"/>
  <c r="M18" i="139" s="1"/>
  <c r="P18" i="139" s="1"/>
  <c r="Q18" i="139" s="1"/>
  <c r="R18" i="139" s="1"/>
  <c r="S18" i="139" s="1"/>
  <c r="E18" i="139"/>
  <c r="E15" i="139"/>
  <c r="F15" i="139" s="1"/>
  <c r="G15" i="139" s="1"/>
  <c r="H15" i="139" s="1"/>
  <c r="I15" i="139" s="1"/>
  <c r="J15" i="139" s="1"/>
  <c r="K15" i="139" s="1"/>
  <c r="L15" i="139" s="1"/>
  <c r="M15" i="139" s="1"/>
  <c r="P15" i="139" s="1"/>
  <c r="Q15" i="139" s="1"/>
  <c r="R15" i="139" s="1"/>
  <c r="S15" i="139" s="1"/>
  <c r="P13" i="139"/>
  <c r="J13" i="139"/>
  <c r="C38" i="137"/>
  <c r="F17" i="137"/>
  <c r="F21" i="140"/>
  <c r="F13" i="140"/>
  <c r="F8" i="140"/>
  <c r="C21" i="140"/>
  <c r="C5" i="139"/>
  <c r="D2" i="139"/>
  <c r="D25" i="139" s="1"/>
  <c r="E25" i="139" s="1"/>
  <c r="F25" i="139" s="1"/>
  <c r="G25" i="139" s="1"/>
  <c r="H25" i="139" s="1"/>
  <c r="I25" i="139" s="1"/>
  <c r="J25" i="139" s="1"/>
  <c r="K25" i="139" s="1"/>
  <c r="L25" i="139" s="1"/>
  <c r="M25" i="139" s="1"/>
  <c r="P25" i="139" s="1"/>
  <c r="Q25" i="139" s="1"/>
  <c r="R25" i="139" s="1"/>
  <c r="S25" i="139" s="1"/>
  <c r="O26" i="140"/>
  <c r="P26" i="140"/>
  <c r="O25" i="140"/>
  <c r="P25" i="140"/>
  <c r="P24" i="140"/>
  <c r="O24" i="140"/>
  <c r="P23" i="140"/>
  <c r="O23" i="140"/>
  <c r="P22" i="140"/>
  <c r="O22" i="140"/>
  <c r="P21" i="140"/>
  <c r="O21" i="140"/>
  <c r="P20" i="140"/>
  <c r="O20" i="140"/>
  <c r="F16" i="140" s="1"/>
  <c r="P19" i="140"/>
  <c r="O19" i="140"/>
  <c r="P18" i="140"/>
  <c r="O18" i="140"/>
  <c r="P17" i="140"/>
  <c r="O17" i="140"/>
  <c r="F15" i="140" s="1"/>
  <c r="P16" i="140"/>
  <c r="O16" i="140"/>
  <c r="P15" i="140"/>
  <c r="O15" i="140"/>
  <c r="P14" i="140"/>
  <c r="O14" i="140"/>
  <c r="P13" i="140"/>
  <c r="O13" i="140"/>
  <c r="P12" i="140"/>
  <c r="O12" i="140"/>
  <c r="C18" i="140"/>
  <c r="P11" i="140"/>
  <c r="O11" i="140"/>
  <c r="P10" i="140"/>
  <c r="O10" i="140"/>
  <c r="P9" i="140"/>
  <c r="O9" i="140"/>
  <c r="P8" i="140"/>
  <c r="O8" i="140"/>
  <c r="C12" i="140"/>
  <c r="P7" i="140"/>
  <c r="O7" i="140"/>
  <c r="P6" i="140"/>
  <c r="O6" i="140"/>
  <c r="P5" i="140"/>
  <c r="O5" i="140"/>
  <c r="F6" i="140"/>
  <c r="P4" i="140"/>
  <c r="O4" i="140"/>
  <c r="B22" i="139"/>
  <c r="C21" i="139"/>
  <c r="F28" i="140" s="1"/>
  <c r="B18" i="139"/>
  <c r="B17" i="139"/>
  <c r="B15" i="139"/>
  <c r="B14" i="139"/>
  <c r="R13" i="139"/>
  <c r="D13" i="139"/>
  <c r="C10" i="139"/>
  <c r="C28" i="140" s="1"/>
  <c r="C9" i="139"/>
  <c r="C8" i="139"/>
  <c r="K13" i="139"/>
  <c r="I13" i="139"/>
  <c r="D5" i="139"/>
  <c r="E4" i="139"/>
  <c r="F4" i="139" s="1"/>
  <c r="G4" i="139" s="1"/>
  <c r="H4" i="139" s="1"/>
  <c r="I4" i="139" s="1"/>
  <c r="J4" i="139" s="1"/>
  <c r="K4" i="139" s="1"/>
  <c r="L4" i="139" s="1"/>
  <c r="M4" i="139" s="1"/>
  <c r="P4" i="139" s="1"/>
  <c r="Q4" i="139" s="1"/>
  <c r="R4" i="139" s="1"/>
  <c r="S4" i="139" s="1"/>
  <c r="S13" i="139" s="1"/>
  <c r="C23" i="142" l="1"/>
  <c r="R24" i="141"/>
  <c r="S5" i="141" s="1"/>
  <c r="V8" i="141"/>
  <c r="V7" i="141"/>
  <c r="V9" i="141"/>
  <c r="U14" i="141"/>
  <c r="V6" i="141"/>
  <c r="V12" i="141"/>
  <c r="V11" i="141"/>
  <c r="V10" i="141"/>
  <c r="S23" i="141"/>
  <c r="C23" i="141" s="1"/>
  <c r="C15" i="141"/>
  <c r="F25" i="142" s="1"/>
  <c r="F23" i="142" s="1"/>
  <c r="F12" i="140"/>
  <c r="E23" i="139"/>
  <c r="C14" i="139"/>
  <c r="F24" i="140" s="1"/>
  <c r="C11" i="139"/>
  <c r="C24" i="140" s="1"/>
  <c r="C7" i="139"/>
  <c r="C27" i="140" s="1"/>
  <c r="C15" i="140"/>
  <c r="S37" i="139" s="1"/>
  <c r="C13" i="140"/>
  <c r="C14" i="140"/>
  <c r="C19" i="140"/>
  <c r="C17" i="140" s="1"/>
  <c r="L13" i="139"/>
  <c r="M13" i="139"/>
  <c r="E13" i="139"/>
  <c r="E2" i="139"/>
  <c r="F2" i="139" s="1"/>
  <c r="G2" i="139" s="1"/>
  <c r="H2" i="139" s="1"/>
  <c r="I2" i="139" s="1"/>
  <c r="J2" i="139" s="1"/>
  <c r="K2" i="139" s="1"/>
  <c r="L2" i="139" s="1"/>
  <c r="M2" i="139" s="1"/>
  <c r="P2" i="139" s="1"/>
  <c r="Q2" i="139" s="1"/>
  <c r="R2" i="139" s="1"/>
  <c r="S2" i="139" s="1"/>
  <c r="C6" i="139"/>
  <c r="C26" i="140" s="1"/>
  <c r="Q13" i="139"/>
  <c r="D23" i="139"/>
  <c r="D24" i="139" s="1"/>
  <c r="E5" i="139" s="1"/>
  <c r="C16" i="139"/>
  <c r="C7" i="140" s="1"/>
  <c r="C19" i="139"/>
  <c r="F20" i="140" s="1"/>
  <c r="F19" i="140" s="1"/>
  <c r="K40" i="137"/>
  <c r="K41" i="137"/>
  <c r="P41" i="137"/>
  <c r="O41" i="137"/>
  <c r="P40" i="137"/>
  <c r="O40" i="137"/>
  <c r="T20" i="137"/>
  <c r="Q20" i="137"/>
  <c r="N20" i="137"/>
  <c r="T22" i="137"/>
  <c r="Q22" i="137"/>
  <c r="N22" i="137"/>
  <c r="S19" i="136"/>
  <c r="S8" i="136"/>
  <c r="S11" i="136"/>
  <c r="C30" i="142" l="1"/>
  <c r="D23" i="142" s="1"/>
  <c r="F17" i="142"/>
  <c r="F11" i="142" s="1"/>
  <c r="F33" i="142"/>
  <c r="V24" i="141"/>
  <c r="V13" i="141"/>
  <c r="U35" i="141"/>
  <c r="V26" i="141"/>
  <c r="V23" i="141"/>
  <c r="V25" i="141"/>
  <c r="V28" i="141"/>
  <c r="V31" i="141"/>
  <c r="V30" i="141"/>
  <c r="V29" i="141"/>
  <c r="V27" i="141"/>
  <c r="C24" i="141"/>
  <c r="S24" i="141"/>
  <c r="O35" i="139"/>
  <c r="N35" i="139"/>
  <c r="N37" i="139"/>
  <c r="N36" i="139"/>
  <c r="O36" i="139"/>
  <c r="O37" i="139"/>
  <c r="O38" i="139" s="1"/>
  <c r="R37" i="139"/>
  <c r="M37" i="139"/>
  <c r="E24" i="139"/>
  <c r="F5" i="139" s="1"/>
  <c r="C11" i="140"/>
  <c r="J37" i="139"/>
  <c r="K37" i="139"/>
  <c r="Q37" i="139"/>
  <c r="L37" i="139"/>
  <c r="F37" i="139"/>
  <c r="P37" i="139"/>
  <c r="G37" i="139"/>
  <c r="H37" i="139"/>
  <c r="G35" i="139"/>
  <c r="K35" i="139"/>
  <c r="S35" i="139"/>
  <c r="H35" i="139"/>
  <c r="L35" i="139"/>
  <c r="P35" i="139"/>
  <c r="M35" i="139"/>
  <c r="Q35" i="139"/>
  <c r="F35" i="139"/>
  <c r="J35" i="139"/>
  <c r="R35" i="139"/>
  <c r="K36" i="139"/>
  <c r="H36" i="139"/>
  <c r="L36" i="139"/>
  <c r="P36" i="139"/>
  <c r="M36" i="139"/>
  <c r="Q36" i="139"/>
  <c r="F36" i="139"/>
  <c r="J36" i="139"/>
  <c r="R36" i="139"/>
  <c r="G36" i="139"/>
  <c r="S36" i="139"/>
  <c r="M23" i="139"/>
  <c r="F23" i="139"/>
  <c r="L23" i="139"/>
  <c r="C22" i="139"/>
  <c r="F29" i="140" s="1"/>
  <c r="C18" i="139"/>
  <c r="F27" i="140" s="1"/>
  <c r="C17" i="139"/>
  <c r="F26" i="140" s="1"/>
  <c r="F13" i="139"/>
  <c r="G23" i="139"/>
  <c r="C20" i="139"/>
  <c r="C8" i="140" s="1"/>
  <c r="C6" i="140" s="1"/>
  <c r="P39" i="137"/>
  <c r="O39" i="137"/>
  <c r="P38" i="137"/>
  <c r="O38" i="137"/>
  <c r="P37" i="137"/>
  <c r="O37" i="137"/>
  <c r="P36" i="137"/>
  <c r="O36" i="137"/>
  <c r="S35" i="137"/>
  <c r="T35" i="137"/>
  <c r="P35" i="137"/>
  <c r="O35" i="137"/>
  <c r="F30" i="142" l="1"/>
  <c r="G11" i="142" s="1"/>
  <c r="D27" i="142"/>
  <c r="D12" i="142"/>
  <c r="D13" i="142"/>
  <c r="D17" i="142"/>
  <c r="D6" i="142"/>
  <c r="D21" i="142"/>
  <c r="D26" i="142"/>
  <c r="D14" i="142"/>
  <c r="D7" i="142"/>
  <c r="D8" i="142"/>
  <c r="D9" i="142"/>
  <c r="D19" i="142"/>
  <c r="D30" i="142"/>
  <c r="D11" i="142"/>
  <c r="D24" i="142"/>
  <c r="D25" i="142"/>
  <c r="D18" i="142"/>
  <c r="D15" i="142"/>
  <c r="D28" i="142"/>
  <c r="V34" i="141"/>
  <c r="N38" i="139"/>
  <c r="L38" i="139"/>
  <c r="J38" i="139"/>
  <c r="M38" i="139"/>
  <c r="Q38" i="139"/>
  <c r="K38" i="139"/>
  <c r="F38" i="139"/>
  <c r="H38" i="139"/>
  <c r="S38" i="139"/>
  <c r="R38" i="139"/>
  <c r="D38" i="139"/>
  <c r="G38" i="139"/>
  <c r="P38" i="139"/>
  <c r="F24" i="139"/>
  <c r="G5" i="139" s="1"/>
  <c r="H23" i="139"/>
  <c r="G13" i="139"/>
  <c r="P34" i="137"/>
  <c r="O34" i="137"/>
  <c r="P33" i="137"/>
  <c r="O33" i="137"/>
  <c r="P19" i="136"/>
  <c r="G17" i="142" l="1"/>
  <c r="G23" i="142"/>
  <c r="G25" i="142"/>
  <c r="G8" i="142"/>
  <c r="G6" i="142"/>
  <c r="G15" i="142"/>
  <c r="F31" i="142"/>
  <c r="G21" i="142"/>
  <c r="G20" i="142"/>
  <c r="G29" i="142"/>
  <c r="G12" i="142"/>
  <c r="G7" i="142"/>
  <c r="G30" i="142"/>
  <c r="G28" i="142"/>
  <c r="G27" i="142"/>
  <c r="G14" i="142"/>
  <c r="G13" i="142"/>
  <c r="G26" i="142"/>
  <c r="G16" i="142"/>
  <c r="G24" i="142"/>
  <c r="G19" i="142"/>
  <c r="G9" i="142"/>
  <c r="G24" i="139"/>
  <c r="H5" i="139" s="1"/>
  <c r="I23" i="139"/>
  <c r="H13" i="139"/>
  <c r="C12" i="139"/>
  <c r="C25" i="140" s="1"/>
  <c r="P23" i="139"/>
  <c r="P32" i="137"/>
  <c r="O32" i="137"/>
  <c r="N31" i="137"/>
  <c r="T31" i="137"/>
  <c r="P31" i="137"/>
  <c r="O31" i="137"/>
  <c r="Q9" i="137"/>
  <c r="N9" i="137"/>
  <c r="H24" i="139" l="1"/>
  <c r="I5" i="139" s="1"/>
  <c r="I24" i="139" s="1"/>
  <c r="J5" i="139" s="1"/>
  <c r="C23" i="140"/>
  <c r="C13" i="139"/>
  <c r="V12" i="139" s="1"/>
  <c r="J23" i="139"/>
  <c r="Q23" i="139"/>
  <c r="O6" i="136"/>
  <c r="C30" i="140" l="1"/>
  <c r="J24" i="139"/>
  <c r="K5" i="139" s="1"/>
  <c r="K23" i="139"/>
  <c r="U14" i="139"/>
  <c r="V8" i="139"/>
  <c r="V10" i="139"/>
  <c r="V7" i="139"/>
  <c r="V9" i="139"/>
  <c r="V11" i="139"/>
  <c r="V6" i="139"/>
  <c r="S23" i="139"/>
  <c r="R23" i="139"/>
  <c r="M14" i="136"/>
  <c r="M10" i="136"/>
  <c r="M6" i="136"/>
  <c r="T30" i="137"/>
  <c r="P30" i="137"/>
  <c r="O30" i="137"/>
  <c r="D19" i="140" l="1"/>
  <c r="D18" i="140"/>
  <c r="D9" i="140"/>
  <c r="D27" i="140"/>
  <c r="D26" i="140"/>
  <c r="D6" i="140"/>
  <c r="D8" i="140"/>
  <c r="D15" i="140"/>
  <c r="D11" i="140"/>
  <c r="D14" i="140"/>
  <c r="D30" i="140"/>
  <c r="D28" i="140"/>
  <c r="D12" i="140"/>
  <c r="D21" i="140"/>
  <c r="D24" i="140"/>
  <c r="D13" i="140"/>
  <c r="D7" i="140"/>
  <c r="D17" i="140"/>
  <c r="D25" i="140"/>
  <c r="D23" i="140"/>
  <c r="C23" i="139"/>
  <c r="C24" i="139" s="1"/>
  <c r="C33" i="140" s="1"/>
  <c r="C34" i="140" s="1"/>
  <c r="K24" i="139"/>
  <c r="L5" i="139" s="1"/>
  <c r="L24" i="139" s="1"/>
  <c r="M5" i="139" s="1"/>
  <c r="M24" i="139" s="1"/>
  <c r="P5" i="139" s="1"/>
  <c r="P24" i="139" s="1"/>
  <c r="Q5" i="139" s="1"/>
  <c r="Q24" i="139" s="1"/>
  <c r="R5" i="139" s="1"/>
  <c r="R24" i="139" s="1"/>
  <c r="S5" i="139" s="1"/>
  <c r="S24" i="139" s="1"/>
  <c r="V13" i="139"/>
  <c r="C15" i="139"/>
  <c r="F25" i="140" s="1"/>
  <c r="F23" i="140" s="1"/>
  <c r="V25" i="139"/>
  <c r="K6" i="136"/>
  <c r="F33" i="140" l="1"/>
  <c r="F17" i="140"/>
  <c r="F11" i="140" s="1"/>
  <c r="F30" i="140" s="1"/>
  <c r="V24" i="139"/>
  <c r="V27" i="139"/>
  <c r="V26" i="139"/>
  <c r="V23" i="139"/>
  <c r="V29" i="139"/>
  <c r="V30" i="139"/>
  <c r="V31" i="139"/>
  <c r="V28" i="139"/>
  <c r="U35" i="139"/>
  <c r="N29" i="137"/>
  <c r="T29" i="137"/>
  <c r="P29" i="137"/>
  <c r="O29" i="137"/>
  <c r="J9" i="136"/>
  <c r="V34" i="139" l="1"/>
  <c r="F31" i="140"/>
  <c r="G7" i="140"/>
  <c r="G28" i="140"/>
  <c r="G29" i="140"/>
  <c r="G27" i="140"/>
  <c r="G12" i="140"/>
  <c r="G24" i="140"/>
  <c r="G15" i="140"/>
  <c r="G21" i="140"/>
  <c r="G6" i="140"/>
  <c r="G19" i="140"/>
  <c r="G20" i="140"/>
  <c r="G16" i="140"/>
  <c r="G26" i="140"/>
  <c r="G30" i="140"/>
  <c r="G13" i="140"/>
  <c r="G14" i="140"/>
  <c r="G8" i="140"/>
  <c r="G9" i="140"/>
  <c r="G23" i="140"/>
  <c r="G25" i="140"/>
  <c r="G17" i="140"/>
  <c r="G11" i="140"/>
  <c r="F8" i="137"/>
  <c r="F9" i="133"/>
  <c r="Q13" i="133"/>
  <c r="P28" i="137"/>
  <c r="O28" i="137"/>
  <c r="P27" i="137"/>
  <c r="O27" i="137"/>
  <c r="N26" i="137"/>
  <c r="O26" i="137" s="1"/>
  <c r="T26" i="137"/>
  <c r="P26" i="137"/>
  <c r="N19" i="137"/>
  <c r="I14" i="136"/>
  <c r="I6" i="136" l="1"/>
  <c r="P25" i="137" l="1"/>
  <c r="O25" i="137"/>
  <c r="N5" i="137" l="1"/>
  <c r="O24" i="137" l="1"/>
  <c r="P24" i="137"/>
  <c r="G19" i="136"/>
  <c r="T8" i="137"/>
  <c r="T10" i="137"/>
  <c r="T13" i="137"/>
  <c r="T15" i="137"/>
  <c r="T21" i="137"/>
  <c r="N10" i="137"/>
  <c r="AT8" i="11" l="1"/>
  <c r="AT7" i="11"/>
  <c r="AU7" i="11"/>
  <c r="AR8" i="11"/>
  <c r="AQ8" i="11" s="1"/>
  <c r="AO8" i="11"/>
  <c r="AN8" i="11"/>
  <c r="B38" i="138" l="1"/>
  <c r="B36" i="138"/>
  <c r="Y5" i="138"/>
  <c r="Z5" i="138"/>
  <c r="AA5" i="138"/>
  <c r="AB5" i="138"/>
  <c r="AC5" i="138" s="1"/>
  <c r="AD5" i="138" s="1"/>
  <c r="AE5" i="138" s="1"/>
  <c r="AF5" i="138" s="1"/>
  <c r="AG5" i="138" s="1"/>
  <c r="AH5" i="138" s="1"/>
  <c r="AI5" i="138" s="1"/>
  <c r="AJ5" i="138" s="1"/>
  <c r="AK5" i="138" s="1"/>
  <c r="AL5" i="138" s="1"/>
  <c r="AM5" i="138" s="1"/>
  <c r="X5" i="138"/>
  <c r="M5" i="138"/>
  <c r="N5" i="138"/>
  <c r="O5" i="138"/>
  <c r="P5" i="138"/>
  <c r="Q5" i="138" s="1"/>
  <c r="R5" i="138" s="1"/>
  <c r="S5" i="138" s="1"/>
  <c r="T5" i="138" s="1"/>
  <c r="U5" i="138" s="1"/>
  <c r="V5" i="138" s="1"/>
  <c r="W5" i="138" s="1"/>
  <c r="L5" i="138"/>
  <c r="CI26" i="138" l="1"/>
  <c r="CH26" i="138"/>
  <c r="CG26" i="138"/>
  <c r="CF26" i="138"/>
  <c r="CE26" i="138"/>
  <c r="CD26" i="138"/>
  <c r="CC26" i="138"/>
  <c r="CB26" i="138"/>
  <c r="CA26" i="138"/>
  <c r="BZ26" i="138"/>
  <c r="BY26" i="138"/>
  <c r="BX26" i="138"/>
  <c r="BW26" i="138"/>
  <c r="BV26" i="138"/>
  <c r="BU26" i="138"/>
  <c r="BT26" i="138"/>
  <c r="CI25" i="138"/>
  <c r="CH25" i="138"/>
  <c r="CG25" i="138"/>
  <c r="CE25" i="138"/>
  <c r="CC25" i="138"/>
  <c r="CA25" i="138"/>
  <c r="BY25" i="138"/>
  <c r="BW25" i="138"/>
  <c r="BU25" i="138"/>
  <c r="CI24" i="138"/>
  <c r="CH24" i="138"/>
  <c r="CG24" i="138"/>
  <c r="CE24" i="138"/>
  <c r="CC24" i="138"/>
  <c r="CA24" i="138"/>
  <c r="BY24" i="138"/>
  <c r="BW24" i="138"/>
  <c r="BU24" i="138"/>
  <c r="CI23" i="138"/>
  <c r="CH23" i="138"/>
  <c r="CG23" i="138"/>
  <c r="CE23" i="138"/>
  <c r="CC23" i="138"/>
  <c r="CA23" i="138"/>
  <c r="BY23" i="138"/>
  <c r="BW23" i="138"/>
  <c r="BU23" i="138"/>
  <c r="CI22" i="138"/>
  <c r="CH22" i="138"/>
  <c r="CG22" i="138"/>
  <c r="CE22" i="138"/>
  <c r="CC22" i="138"/>
  <c r="CA22" i="138"/>
  <c r="BY22" i="138"/>
  <c r="BW22" i="138"/>
  <c r="BU22" i="138"/>
  <c r="CI21" i="138"/>
  <c r="CH21" i="138"/>
  <c r="CG21" i="138"/>
  <c r="CE21" i="138"/>
  <c r="CC21" i="138"/>
  <c r="CA21" i="138"/>
  <c r="BY21" i="138"/>
  <c r="BW21" i="138"/>
  <c r="BU21" i="138"/>
  <c r="CI20" i="138"/>
  <c r="CH20" i="138"/>
  <c r="CG20" i="138"/>
  <c r="CE20" i="138"/>
  <c r="CC20" i="138"/>
  <c r="CA20" i="138"/>
  <c r="BY20" i="138"/>
  <c r="BW20" i="138"/>
  <c r="BU20" i="138"/>
  <c r="CI19" i="138"/>
  <c r="CH19" i="138"/>
  <c r="CG19" i="138"/>
  <c r="CE19" i="138"/>
  <c r="CC19" i="138"/>
  <c r="CA19" i="138"/>
  <c r="BY19" i="138"/>
  <c r="BW19" i="138"/>
  <c r="BU19" i="138"/>
  <c r="CI18" i="138"/>
  <c r="CH18" i="138"/>
  <c r="CG18" i="138"/>
  <c r="CE18" i="138"/>
  <c r="CC18" i="138"/>
  <c r="CA18" i="138"/>
  <c r="BY18" i="138"/>
  <c r="BW18" i="138"/>
  <c r="BU18" i="138"/>
  <c r="BT13" i="138"/>
  <c r="BT12" i="138"/>
  <c r="BU12" i="138" s="1"/>
  <c r="BV12" i="138" s="1"/>
  <c r="BT11" i="138"/>
  <c r="BU11" i="138" s="1"/>
  <c r="BV11" i="138" s="1"/>
  <c r="BT10" i="138"/>
  <c r="BU10" i="138" s="1"/>
  <c r="BV10" i="138" s="1"/>
  <c r="BS26" i="138"/>
  <c r="BR26" i="138"/>
  <c r="BQ26" i="138"/>
  <c r="BP26" i="138"/>
  <c r="BO26" i="138"/>
  <c r="BN26" i="138"/>
  <c r="BM26" i="138"/>
  <c r="BL26" i="138"/>
  <c r="BK26" i="138"/>
  <c r="BJ26" i="138"/>
  <c r="BI26" i="138"/>
  <c r="BH26" i="138"/>
  <c r="BG26" i="138"/>
  <c r="BF26" i="138"/>
  <c r="BE26" i="138"/>
  <c r="BD26" i="138"/>
  <c r="BS25" i="138"/>
  <c r="BR25" i="138"/>
  <c r="BQ25" i="138"/>
  <c r="BO25" i="138"/>
  <c r="BM25" i="138"/>
  <c r="BK25" i="138"/>
  <c r="BI25" i="138"/>
  <c r="BG25" i="138"/>
  <c r="BE25" i="138"/>
  <c r="BS24" i="138"/>
  <c r="BR24" i="138"/>
  <c r="BQ24" i="138"/>
  <c r="BO24" i="138"/>
  <c r="BM24" i="138"/>
  <c r="BK24" i="138"/>
  <c r="BI24" i="138"/>
  <c r="BG24" i="138"/>
  <c r="BE24" i="138"/>
  <c r="BS23" i="138"/>
  <c r="BR23" i="138"/>
  <c r="BQ23" i="138"/>
  <c r="BO23" i="138"/>
  <c r="BM23" i="138"/>
  <c r="BK23" i="138"/>
  <c r="BI23" i="138"/>
  <c r="BG23" i="138"/>
  <c r="BE23" i="138"/>
  <c r="BS22" i="138"/>
  <c r="BR22" i="138"/>
  <c r="BQ22" i="138"/>
  <c r="BO22" i="138"/>
  <c r="BM22" i="138"/>
  <c r="BK22" i="138"/>
  <c r="BI22" i="138"/>
  <c r="BG22" i="138"/>
  <c r="BE22" i="138"/>
  <c r="BS21" i="138"/>
  <c r="BR21" i="138"/>
  <c r="BQ21" i="138"/>
  <c r="BO21" i="138"/>
  <c r="BM21" i="138"/>
  <c r="BK21" i="138"/>
  <c r="BI21" i="138"/>
  <c r="BG21" i="138"/>
  <c r="BE21" i="138"/>
  <c r="BS20" i="138"/>
  <c r="BR20" i="138"/>
  <c r="BQ20" i="138"/>
  <c r="BO20" i="138"/>
  <c r="BM20" i="138"/>
  <c r="BK20" i="138"/>
  <c r="BI20" i="138"/>
  <c r="BG20" i="138"/>
  <c r="BE20" i="138"/>
  <c r="BS19" i="138"/>
  <c r="BR19" i="138"/>
  <c r="BQ19" i="138"/>
  <c r="BO19" i="138"/>
  <c r="BM19" i="138"/>
  <c r="BK19" i="138"/>
  <c r="BI19" i="138"/>
  <c r="BG19" i="138"/>
  <c r="BE19" i="138"/>
  <c r="BS18" i="138"/>
  <c r="BR18" i="138"/>
  <c r="BQ18" i="138"/>
  <c r="BO18" i="138"/>
  <c r="BM18" i="138"/>
  <c r="BK18" i="138"/>
  <c r="BI18" i="138"/>
  <c r="BG18" i="138"/>
  <c r="BE18" i="138"/>
  <c r="BD13" i="138"/>
  <c r="BD12" i="138"/>
  <c r="BD11" i="138"/>
  <c r="BE11" i="138" s="1"/>
  <c r="BF11" i="138" s="1"/>
  <c r="BD10" i="138"/>
  <c r="BE10" i="138" s="1"/>
  <c r="BF10" i="138" s="1"/>
  <c r="E36" i="138"/>
  <c r="E37" i="138"/>
  <c r="E38" i="138"/>
  <c r="E35" i="138"/>
  <c r="D36" i="138"/>
  <c r="F36" i="138" s="1"/>
  <c r="D37" i="138"/>
  <c r="F37" i="138" s="1"/>
  <c r="D38" i="138"/>
  <c r="F38" i="138" s="1"/>
  <c r="D35" i="138"/>
  <c r="F35" i="138" s="1"/>
  <c r="C36" i="138"/>
  <c r="C37" i="138"/>
  <c r="C38" i="138"/>
  <c r="C35" i="138"/>
  <c r="AQ10" i="138"/>
  <c r="AR10" i="138"/>
  <c r="AS10" i="138" s="1"/>
  <c r="AT10" i="138" s="1"/>
  <c r="AU10" i="138" s="1"/>
  <c r="AV10" i="138" s="1"/>
  <c r="AW10" i="138" s="1"/>
  <c r="AX10" i="138" s="1"/>
  <c r="AY10" i="138" s="1"/>
  <c r="AZ10" i="138" s="1"/>
  <c r="BA10" i="138" s="1"/>
  <c r="BB10" i="138" s="1"/>
  <c r="BC10" i="138" s="1"/>
  <c r="AQ11" i="138"/>
  <c r="AR11" i="138" s="1"/>
  <c r="AS11" i="138" s="1"/>
  <c r="AT11" i="138"/>
  <c r="AU11" i="138" s="1"/>
  <c r="AV11" i="138" s="1"/>
  <c r="AW11" i="138" s="1"/>
  <c r="AX11" i="138" s="1"/>
  <c r="AY11" i="138" s="1"/>
  <c r="AZ11" i="138" s="1"/>
  <c r="BA11" i="138" s="1"/>
  <c r="BB11" i="138" s="1"/>
  <c r="BC11" i="138" s="1"/>
  <c r="AQ12" i="138"/>
  <c r="AR12" i="138" s="1"/>
  <c r="AS12" i="138"/>
  <c r="AT12" i="138"/>
  <c r="AU12" i="138" s="1"/>
  <c r="AV12" i="138" s="1"/>
  <c r="AW12" i="138" s="1"/>
  <c r="AX12" i="138" s="1"/>
  <c r="AY12" i="138" s="1"/>
  <c r="AZ12" i="138" s="1"/>
  <c r="BA12" i="138" s="1"/>
  <c r="BB12" i="138" s="1"/>
  <c r="BC12" i="138" s="1"/>
  <c r="AQ13" i="138"/>
  <c r="AR13" i="138"/>
  <c r="AS13" i="138"/>
  <c r="AT13" i="138" s="1"/>
  <c r="AU13" i="138" s="1"/>
  <c r="AV13" i="138"/>
  <c r="AW13" i="138" s="1"/>
  <c r="AX13" i="138" s="1"/>
  <c r="AY13" i="138" s="1"/>
  <c r="AZ13" i="138" s="1"/>
  <c r="BA13" i="138" s="1"/>
  <c r="BB13" i="138" s="1"/>
  <c r="BC13" i="138" s="1"/>
  <c r="AQ18" i="138"/>
  <c r="AS18" i="138"/>
  <c r="AU18" i="138"/>
  <c r="AW18" i="138"/>
  <c r="AY18" i="138"/>
  <c r="BA18" i="138"/>
  <c r="BB18" i="138"/>
  <c r="BC18" i="138"/>
  <c r="AQ19" i="138"/>
  <c r="AS19" i="138"/>
  <c r="AU19" i="138"/>
  <c r="AW19" i="138"/>
  <c r="AY19" i="138"/>
  <c r="BA19" i="138"/>
  <c r="BB19" i="138"/>
  <c r="BC19" i="138"/>
  <c r="AQ20" i="138"/>
  <c r="AS20" i="138"/>
  <c r="AU20" i="138"/>
  <c r="AW20" i="138"/>
  <c r="AY20" i="138"/>
  <c r="BA20" i="138"/>
  <c r="BB20" i="138"/>
  <c r="BC20" i="138"/>
  <c r="AQ21" i="138"/>
  <c r="AS21" i="138"/>
  <c r="AU21" i="138"/>
  <c r="AW21" i="138"/>
  <c r="AY21" i="138"/>
  <c r="BA21" i="138"/>
  <c r="BB21" i="138"/>
  <c r="BC21" i="138"/>
  <c r="AQ22" i="138"/>
  <c r="AS22" i="138"/>
  <c r="AU22" i="138"/>
  <c r="AW22" i="138"/>
  <c r="AY22" i="138"/>
  <c r="BA22" i="138"/>
  <c r="BB22" i="138"/>
  <c r="BC22" i="138"/>
  <c r="AQ23" i="138"/>
  <c r="AS23" i="138"/>
  <c r="AU23" i="138"/>
  <c r="AW23" i="138"/>
  <c r="AY23" i="138"/>
  <c r="BA23" i="138"/>
  <c r="BB23" i="138"/>
  <c r="BC23" i="138"/>
  <c r="AQ24" i="138"/>
  <c r="AS24" i="138"/>
  <c r="AU24" i="138"/>
  <c r="AW24" i="138"/>
  <c r="AY24" i="138"/>
  <c r="BA24" i="138"/>
  <c r="BB24" i="138"/>
  <c r="BC24" i="138"/>
  <c r="AQ25" i="138"/>
  <c r="AS25" i="138"/>
  <c r="AU25" i="138"/>
  <c r="AW25" i="138"/>
  <c r="AY25" i="138"/>
  <c r="BA25" i="138"/>
  <c r="BB25" i="138"/>
  <c r="BC25" i="138"/>
  <c r="AQ26" i="138"/>
  <c r="AR26" i="138"/>
  <c r="AS26" i="138"/>
  <c r="AT26" i="138"/>
  <c r="AU26" i="138"/>
  <c r="AV26" i="138"/>
  <c r="AW26" i="138"/>
  <c r="AX26" i="138"/>
  <c r="AY26" i="138"/>
  <c r="AZ26" i="138"/>
  <c r="BA26" i="138"/>
  <c r="BB26" i="138"/>
  <c r="BC26" i="138"/>
  <c r="L18" i="138"/>
  <c r="N18" i="138"/>
  <c r="P18" i="138"/>
  <c r="R18" i="138"/>
  <c r="T18" i="138"/>
  <c r="V18" i="138"/>
  <c r="W18" i="138"/>
  <c r="X18" i="138"/>
  <c r="Z18" i="138"/>
  <c r="AB18" i="138"/>
  <c r="AD18" i="138"/>
  <c r="AF18" i="138"/>
  <c r="AH18" i="138"/>
  <c r="AJ18" i="138"/>
  <c r="AL18" i="138"/>
  <c r="AM18" i="138"/>
  <c r="AO18" i="138"/>
  <c r="L19" i="138"/>
  <c r="N19" i="138"/>
  <c r="P19" i="138"/>
  <c r="R19" i="138"/>
  <c r="T19" i="138"/>
  <c r="V19" i="138"/>
  <c r="W19" i="138"/>
  <c r="X19" i="138"/>
  <c r="Z19" i="138"/>
  <c r="AB19" i="138"/>
  <c r="AD19" i="138"/>
  <c r="AF19" i="138"/>
  <c r="AH19" i="138"/>
  <c r="AJ19" i="138"/>
  <c r="AL19" i="138"/>
  <c r="AM19" i="138"/>
  <c r="AO19" i="138"/>
  <c r="L20" i="138"/>
  <c r="N20" i="138"/>
  <c r="P20" i="138"/>
  <c r="R20" i="138"/>
  <c r="T20" i="138"/>
  <c r="V20" i="138"/>
  <c r="W20" i="138"/>
  <c r="X20" i="138"/>
  <c r="Z20" i="138"/>
  <c r="AB20" i="138"/>
  <c r="AD20" i="138"/>
  <c r="AF20" i="138"/>
  <c r="AH20" i="138"/>
  <c r="AJ20" i="138"/>
  <c r="AL20" i="138"/>
  <c r="AM20" i="138"/>
  <c r="AO20" i="138"/>
  <c r="L21" i="138"/>
  <c r="N21" i="138"/>
  <c r="P21" i="138"/>
  <c r="R21" i="138"/>
  <c r="T21" i="138"/>
  <c r="V21" i="138"/>
  <c r="W21" i="138"/>
  <c r="X21" i="138"/>
  <c r="Z21" i="138"/>
  <c r="AB21" i="138"/>
  <c r="AD21" i="138"/>
  <c r="AF21" i="138"/>
  <c r="AH21" i="138"/>
  <c r="AJ21" i="138"/>
  <c r="AL21" i="138"/>
  <c r="AM21" i="138"/>
  <c r="AO21" i="138"/>
  <c r="L22" i="138"/>
  <c r="N22" i="138"/>
  <c r="P22" i="138"/>
  <c r="R22" i="138"/>
  <c r="T22" i="138"/>
  <c r="V22" i="138"/>
  <c r="W22" i="138"/>
  <c r="X22" i="138"/>
  <c r="Z22" i="138"/>
  <c r="AB22" i="138"/>
  <c r="AD22" i="138"/>
  <c r="AF22" i="138"/>
  <c r="AH22" i="138"/>
  <c r="AJ22" i="138"/>
  <c r="AL22" i="138"/>
  <c r="AM22" i="138"/>
  <c r="AO22" i="138"/>
  <c r="L23" i="138"/>
  <c r="N23" i="138"/>
  <c r="P23" i="138"/>
  <c r="R23" i="138"/>
  <c r="T23" i="138"/>
  <c r="V23" i="138"/>
  <c r="W23" i="138"/>
  <c r="X23" i="138"/>
  <c r="Z23" i="138"/>
  <c r="AB23" i="138"/>
  <c r="AD23" i="138"/>
  <c r="AF23" i="138"/>
  <c r="AH23" i="138"/>
  <c r="AJ23" i="138"/>
  <c r="AL23" i="138"/>
  <c r="AM23" i="138"/>
  <c r="AO23" i="138"/>
  <c r="L24" i="138"/>
  <c r="N24" i="138"/>
  <c r="P24" i="138"/>
  <c r="R24" i="138"/>
  <c r="T24" i="138"/>
  <c r="V24" i="138"/>
  <c r="W24" i="138"/>
  <c r="X24" i="138"/>
  <c r="Z24" i="138"/>
  <c r="AB24" i="138"/>
  <c r="AD24" i="138"/>
  <c r="AF24" i="138"/>
  <c r="AH24" i="138"/>
  <c r="AJ24" i="138"/>
  <c r="AL24" i="138"/>
  <c r="AM24" i="138"/>
  <c r="AO24" i="138"/>
  <c r="L25" i="138"/>
  <c r="N25" i="138"/>
  <c r="P25" i="138"/>
  <c r="R25" i="138"/>
  <c r="T25" i="138"/>
  <c r="V25" i="138"/>
  <c r="W25" i="138"/>
  <c r="X25" i="138"/>
  <c r="Z25" i="138"/>
  <c r="AB25" i="138"/>
  <c r="AD25" i="138"/>
  <c r="AF25" i="138"/>
  <c r="AH25" i="138"/>
  <c r="AJ25" i="138"/>
  <c r="AL25" i="138"/>
  <c r="AM25" i="138"/>
  <c r="AO25" i="138"/>
  <c r="K24" i="138"/>
  <c r="K11" i="138"/>
  <c r="L11" i="138" s="1"/>
  <c r="M11" i="138" s="1"/>
  <c r="N11" i="138" s="1"/>
  <c r="O11" i="138" s="1"/>
  <c r="P11" i="138" s="1"/>
  <c r="Q11" i="138" s="1"/>
  <c r="R11" i="138" s="1"/>
  <c r="S11" i="138" s="1"/>
  <c r="T11" i="138" s="1"/>
  <c r="U11" i="138" s="1"/>
  <c r="V11" i="138" s="1"/>
  <c r="W11" i="138" s="1"/>
  <c r="X11" i="138" s="1"/>
  <c r="Y11" i="138" s="1"/>
  <c r="Z11" i="138" s="1"/>
  <c r="AA11" i="138" s="1"/>
  <c r="AB11" i="138" s="1"/>
  <c r="AC11" i="138" s="1"/>
  <c r="AD11" i="138" s="1"/>
  <c r="AE11" i="138" s="1"/>
  <c r="AF11" i="138" s="1"/>
  <c r="AG11" i="138" s="1"/>
  <c r="AH11" i="138" s="1"/>
  <c r="AI11" i="138" s="1"/>
  <c r="AJ11" i="138" s="1"/>
  <c r="AK11" i="138" s="1"/>
  <c r="AL11" i="138" s="1"/>
  <c r="AM11" i="138" s="1"/>
  <c r="AN11" i="138" s="1"/>
  <c r="AO11" i="138" s="1"/>
  <c r="AP11" i="138" s="1"/>
  <c r="K12" i="138"/>
  <c r="L12" i="138" s="1"/>
  <c r="M12" i="138" s="1"/>
  <c r="K13" i="138"/>
  <c r="K10" i="138"/>
  <c r="L10" i="138" s="1"/>
  <c r="M10" i="138" s="1"/>
  <c r="N10" i="138" s="1"/>
  <c r="O10" i="138" s="1"/>
  <c r="P10" i="138" s="1"/>
  <c r="Q10" i="138" s="1"/>
  <c r="R10" i="138" s="1"/>
  <c r="S10" i="138" s="1"/>
  <c r="T10" i="138" s="1"/>
  <c r="U10" i="138" s="1"/>
  <c r="V10" i="138" s="1"/>
  <c r="W10" i="138" s="1"/>
  <c r="X10" i="138" s="1"/>
  <c r="Y10" i="138" s="1"/>
  <c r="Z10" i="138" s="1"/>
  <c r="AA10" i="138" s="1"/>
  <c r="AB10" i="138" s="1"/>
  <c r="AC10" i="138" s="1"/>
  <c r="AD10" i="138" s="1"/>
  <c r="AE10" i="138" s="1"/>
  <c r="AF10" i="138" s="1"/>
  <c r="AG10" i="138" s="1"/>
  <c r="AH10" i="138" s="1"/>
  <c r="AI10" i="138" s="1"/>
  <c r="AJ10" i="138" s="1"/>
  <c r="AK10" i="138" s="1"/>
  <c r="AL10" i="138" s="1"/>
  <c r="AM10" i="138" s="1"/>
  <c r="AN10" i="138" s="1"/>
  <c r="AO10" i="138" s="1"/>
  <c r="AP10" i="138" s="1"/>
  <c r="H6" i="138"/>
  <c r="H7" i="138"/>
  <c r="H8" i="138"/>
  <c r="H5" i="138"/>
  <c r="G6" i="138"/>
  <c r="G7" i="138"/>
  <c r="G8" i="138"/>
  <c r="G5" i="138"/>
  <c r="L17" i="138"/>
  <c r="M17" i="138" s="1"/>
  <c r="N17" i="138" s="1"/>
  <c r="O17" i="138" s="1"/>
  <c r="P17" i="138" s="1"/>
  <c r="Q17" i="138" s="1"/>
  <c r="R17" i="138" s="1"/>
  <c r="S17" i="138" s="1"/>
  <c r="T17" i="138" s="1"/>
  <c r="U17" i="138" s="1"/>
  <c r="V17" i="138" s="1"/>
  <c r="W17" i="138" s="1"/>
  <c r="X17" i="138" s="1"/>
  <c r="Y17" i="138" s="1"/>
  <c r="Z17" i="138" s="1"/>
  <c r="AA17" i="138" s="1"/>
  <c r="AB17" i="138" s="1"/>
  <c r="AC17" i="138" s="1"/>
  <c r="AD17" i="138" s="1"/>
  <c r="AE17" i="138" s="1"/>
  <c r="AF17" i="138" s="1"/>
  <c r="AG17" i="138" s="1"/>
  <c r="AH17" i="138" s="1"/>
  <c r="AI17" i="138" s="1"/>
  <c r="AJ17" i="138" s="1"/>
  <c r="AK17" i="138" s="1"/>
  <c r="AL17" i="138" s="1"/>
  <c r="AM17" i="138" s="1"/>
  <c r="AN17" i="138" s="1"/>
  <c r="AO17" i="138" s="1"/>
  <c r="AP17" i="138" s="1"/>
  <c r="AQ17" i="138" s="1"/>
  <c r="AR17" i="138" s="1"/>
  <c r="AS17" i="138" s="1"/>
  <c r="L16" i="138"/>
  <c r="L15" i="138"/>
  <c r="L14" i="138"/>
  <c r="C28" i="138"/>
  <c r="K39" i="138" s="1"/>
  <c r="C27" i="138"/>
  <c r="F27" i="138" s="1"/>
  <c r="C26" i="138"/>
  <c r="F26" i="138" s="1"/>
  <c r="C25" i="138"/>
  <c r="F25" i="138" s="1"/>
  <c r="B24" i="138"/>
  <c r="K17" i="138"/>
  <c r="K16" i="138"/>
  <c r="K15" i="138"/>
  <c r="K14" i="138"/>
  <c r="K9" i="138"/>
  <c r="K8" i="138"/>
  <c r="K7" i="138"/>
  <c r="K6" i="138"/>
  <c r="L9" i="138"/>
  <c r="F12" i="138"/>
  <c r="F13" i="138"/>
  <c r="F14" i="138"/>
  <c r="F15" i="138"/>
  <c r="F16" i="138"/>
  <c r="F17" i="138"/>
  <c r="F18" i="138"/>
  <c r="F19" i="138"/>
  <c r="F20" i="138"/>
  <c r="F21" i="138"/>
  <c r="F11" i="138"/>
  <c r="B4" i="138"/>
  <c r="K38" i="138" l="1"/>
  <c r="CC41" i="138"/>
  <c r="CH41" i="138"/>
  <c r="BW41" i="138"/>
  <c r="CA41" i="138"/>
  <c r="CE41" i="138"/>
  <c r="CI41" i="138"/>
  <c r="BW10" i="138"/>
  <c r="BX10" i="138" s="1"/>
  <c r="BW11" i="138"/>
  <c r="BX11" i="138" s="1"/>
  <c r="BW12" i="138"/>
  <c r="BX12" i="138" s="1"/>
  <c r="BU41" i="138"/>
  <c r="BY41" i="138"/>
  <c r="CG41" i="138"/>
  <c r="BU13" i="138"/>
  <c r="BV13" i="138" s="1"/>
  <c r="BG41" i="138"/>
  <c r="BK41" i="138"/>
  <c r="BO41" i="138"/>
  <c r="BS41" i="138"/>
  <c r="BE41" i="138"/>
  <c r="BI41" i="138"/>
  <c r="BR41" i="138"/>
  <c r="BG10" i="138"/>
  <c r="BH10" i="138" s="1"/>
  <c r="BG11" i="138"/>
  <c r="BH11" i="138" s="1"/>
  <c r="BE12" i="138"/>
  <c r="BF12" i="138" s="1"/>
  <c r="BM41" i="138"/>
  <c r="BQ41" i="138"/>
  <c r="BE13" i="138"/>
  <c r="BF13" i="138" s="1"/>
  <c r="BB41" i="138"/>
  <c r="BC41" i="138"/>
  <c r="BA41" i="138"/>
  <c r="AY41" i="138"/>
  <c r="AW41" i="138"/>
  <c r="AU41" i="138"/>
  <c r="AS41" i="138"/>
  <c r="AQ41" i="138"/>
  <c r="AT17" i="138"/>
  <c r="L30" i="138"/>
  <c r="K37" i="138"/>
  <c r="K36" i="138"/>
  <c r="K25" i="138"/>
  <c r="N12" i="138"/>
  <c r="O12" i="138" s="1"/>
  <c r="K20" i="138"/>
  <c r="K19" i="138"/>
  <c r="L34" i="138"/>
  <c r="K21" i="138"/>
  <c r="K18" i="138"/>
  <c r="K31" i="138"/>
  <c r="H9" i="138"/>
  <c r="K22" i="138"/>
  <c r="L13" i="138"/>
  <c r="M13" i="138" s="1"/>
  <c r="K23" i="138"/>
  <c r="M16" i="138"/>
  <c r="K32" i="138"/>
  <c r="K30" i="138"/>
  <c r="K34" i="138"/>
  <c r="K33" i="138"/>
  <c r="K27" i="138"/>
  <c r="K28" i="138"/>
  <c r="K29" i="138"/>
  <c r="G9" i="138"/>
  <c r="D26" i="138"/>
  <c r="M15" i="138"/>
  <c r="E26" i="138"/>
  <c r="M14" i="138"/>
  <c r="M7" i="138"/>
  <c r="M19" i="138" s="1"/>
  <c r="L8" i="138"/>
  <c r="L33" i="138" s="1"/>
  <c r="L7" i="138"/>
  <c r="L28" i="138" s="1"/>
  <c r="F28" i="138"/>
  <c r="E28" i="138"/>
  <c r="D28" i="138"/>
  <c r="D25" i="138"/>
  <c r="E25" i="138"/>
  <c r="D27" i="138"/>
  <c r="E27" i="138"/>
  <c r="L6" i="138"/>
  <c r="L31" i="138" s="1"/>
  <c r="N15" i="137"/>
  <c r="M23" i="138" l="1"/>
  <c r="BY11" i="138"/>
  <c r="BZ11" i="138" s="1"/>
  <c r="BY10" i="138"/>
  <c r="BZ10" i="138" s="1"/>
  <c r="BW13" i="138"/>
  <c r="BX13" i="138" s="1"/>
  <c r="BY12" i="138"/>
  <c r="BZ12" i="138" s="1"/>
  <c r="BI11" i="138"/>
  <c r="BJ11" i="138" s="1"/>
  <c r="BG13" i="138"/>
  <c r="BH13" i="138" s="1"/>
  <c r="BG12" i="138"/>
  <c r="BH12" i="138" s="1"/>
  <c r="BI10" i="138"/>
  <c r="BJ10" i="138" s="1"/>
  <c r="AU17" i="138"/>
  <c r="K40" i="138"/>
  <c r="E30" i="138" s="1"/>
  <c r="K42" i="138"/>
  <c r="P12" i="138"/>
  <c r="Q12" i="138" s="1"/>
  <c r="L27" i="138"/>
  <c r="M32" i="138"/>
  <c r="M28" i="138"/>
  <c r="L32" i="138"/>
  <c r="L29" i="138"/>
  <c r="N13" i="138"/>
  <c r="O13" i="138" s="1"/>
  <c r="N16" i="138"/>
  <c r="N14" i="138"/>
  <c r="N15" i="138"/>
  <c r="M26" i="138"/>
  <c r="Q26" i="138"/>
  <c r="U26" i="138"/>
  <c r="Y26" i="138"/>
  <c r="AC26" i="138"/>
  <c r="AG26" i="138"/>
  <c r="AK26" i="138"/>
  <c r="AO26" i="138"/>
  <c r="AO41" i="138" s="1"/>
  <c r="N26" i="138"/>
  <c r="N41" i="138" s="1"/>
  <c r="R26" i="138"/>
  <c r="R41" i="138" s="1"/>
  <c r="V26" i="138"/>
  <c r="V41" i="138" s="1"/>
  <c r="Z26" i="138"/>
  <c r="Z41" i="138" s="1"/>
  <c r="AD26" i="138"/>
  <c r="AD41" i="138" s="1"/>
  <c r="AH26" i="138"/>
  <c r="AH41" i="138" s="1"/>
  <c r="AL26" i="138"/>
  <c r="AL41" i="138" s="1"/>
  <c r="AP26" i="138"/>
  <c r="O26" i="138"/>
  <c r="S26" i="138"/>
  <c r="W26" i="138"/>
  <c r="W41" i="138" s="1"/>
  <c r="AA26" i="138"/>
  <c r="AE26" i="138"/>
  <c r="AI26" i="138"/>
  <c r="AM26" i="138"/>
  <c r="AM41" i="138" s="1"/>
  <c r="K26" i="138"/>
  <c r="K41" i="138" s="1"/>
  <c r="L26" i="138"/>
  <c r="L41" i="138" s="1"/>
  <c r="P26" i="138"/>
  <c r="P41" i="138" s="1"/>
  <c r="T26" i="138"/>
  <c r="T41" i="138" s="1"/>
  <c r="X26" i="138"/>
  <c r="X41" i="138" s="1"/>
  <c r="AB26" i="138"/>
  <c r="AB41" i="138" s="1"/>
  <c r="AF26" i="138"/>
  <c r="AF41" i="138" s="1"/>
  <c r="AJ26" i="138"/>
  <c r="AJ41" i="138" s="1"/>
  <c r="AN26" i="138"/>
  <c r="M9" i="138"/>
  <c r="M25" i="138" s="1"/>
  <c r="M8" i="138"/>
  <c r="M6" i="138"/>
  <c r="M18" i="138" s="1"/>
  <c r="L7" i="29"/>
  <c r="L6" i="29"/>
  <c r="L5" i="29"/>
  <c r="L4" i="29"/>
  <c r="K4" i="29"/>
  <c r="K8" i="29"/>
  <c r="K5" i="29"/>
  <c r="K6" i="29"/>
  <c r="K7" i="29"/>
  <c r="L8" i="29" l="1"/>
  <c r="CA12" i="138"/>
  <c r="CB12" i="138" s="1"/>
  <c r="BY13" i="138"/>
  <c r="BZ13" i="138" s="1"/>
  <c r="CA11" i="138"/>
  <c r="CB11" i="138" s="1"/>
  <c r="CA10" i="138"/>
  <c r="CB10" i="138" s="1"/>
  <c r="BI13" i="138"/>
  <c r="BJ13" i="138" s="1"/>
  <c r="BK11" i="138"/>
  <c r="BL11" i="138" s="1"/>
  <c r="BK10" i="138"/>
  <c r="BL10" i="138" s="1"/>
  <c r="BI12" i="138"/>
  <c r="BJ12" i="138" s="1"/>
  <c r="AV17" i="138"/>
  <c r="M27" i="138"/>
  <c r="M31" i="138"/>
  <c r="L42" i="138"/>
  <c r="L43" i="138" s="1"/>
  <c r="M33" i="138"/>
  <c r="M20" i="138"/>
  <c r="M24" i="138"/>
  <c r="K43" i="138"/>
  <c r="K44" i="138" s="1"/>
  <c r="R12" i="138"/>
  <c r="S12" i="138" s="1"/>
  <c r="M22" i="138"/>
  <c r="M21" i="138"/>
  <c r="O15" i="138"/>
  <c r="M29" i="138"/>
  <c r="M34" i="138"/>
  <c r="M30" i="138"/>
  <c r="O14" i="138"/>
  <c r="O16" i="138"/>
  <c r="P13" i="138"/>
  <c r="Q13" i="138" s="1"/>
  <c r="N9" i="138"/>
  <c r="N7" i="138"/>
  <c r="N32" i="138" s="1"/>
  <c r="N6" i="138"/>
  <c r="N27" i="138" s="1"/>
  <c r="N8" i="138"/>
  <c r="N33" i="138" s="1"/>
  <c r="E4" i="136"/>
  <c r="M41" i="138" l="1"/>
  <c r="CC11" i="138"/>
  <c r="CD11" i="138" s="1"/>
  <c r="CA13" i="138"/>
  <c r="CB13" i="138" s="1"/>
  <c r="CC10" i="138"/>
  <c r="CD10" i="138" s="1"/>
  <c r="CC12" i="138"/>
  <c r="CD12" i="138" s="1"/>
  <c r="BM11" i="138"/>
  <c r="BN11" i="138" s="1"/>
  <c r="BK12" i="138"/>
  <c r="BL12" i="138" s="1"/>
  <c r="BM10" i="138"/>
  <c r="BN10" i="138" s="1"/>
  <c r="BK13" i="138"/>
  <c r="BL13" i="138" s="1"/>
  <c r="AW17" i="138"/>
  <c r="L44" i="138"/>
  <c r="M42" i="138"/>
  <c r="P16" i="138"/>
  <c r="Q16" i="138" s="1"/>
  <c r="T12" i="138"/>
  <c r="U12" i="138" s="1"/>
  <c r="N31" i="138"/>
  <c r="N29" i="138"/>
  <c r="N34" i="138"/>
  <c r="N30" i="138"/>
  <c r="P15" i="138"/>
  <c r="N28" i="138"/>
  <c r="P14" i="138"/>
  <c r="R13" i="138"/>
  <c r="S13" i="138" s="1"/>
  <c r="O6" i="138"/>
  <c r="O8" i="138"/>
  <c r="O7" i="138"/>
  <c r="O9" i="138"/>
  <c r="F17" i="136"/>
  <c r="M43" i="138" l="1"/>
  <c r="M44" i="138" s="1"/>
  <c r="CC13" i="138"/>
  <c r="CD13" i="138" s="1"/>
  <c r="CE12" i="138"/>
  <c r="CF12" i="138" s="1"/>
  <c r="CE10" i="138"/>
  <c r="CF10" i="138" s="1"/>
  <c r="CE11" i="138"/>
  <c r="CF11" i="138" s="1"/>
  <c r="BO10" i="138"/>
  <c r="BP10" i="138" s="1"/>
  <c r="BM12" i="138"/>
  <c r="BN12" i="138" s="1"/>
  <c r="BM13" i="138"/>
  <c r="BN13" i="138" s="1"/>
  <c r="BO11" i="138"/>
  <c r="BP11" i="138" s="1"/>
  <c r="AX17" i="138"/>
  <c r="N42" i="138"/>
  <c r="N43" i="138" s="1"/>
  <c r="O28" i="138"/>
  <c r="O19" i="138"/>
  <c r="O29" i="138"/>
  <c r="O20" i="138"/>
  <c r="O23" i="138"/>
  <c r="O24" i="138"/>
  <c r="O27" i="138"/>
  <c r="O18" i="138"/>
  <c r="V12" i="138"/>
  <c r="W12" i="138" s="1"/>
  <c r="X12" i="138" s="1"/>
  <c r="Y12" i="138" s="1"/>
  <c r="O22" i="138"/>
  <c r="O25" i="138"/>
  <c r="O21" i="138"/>
  <c r="O32" i="138"/>
  <c r="O31" i="138"/>
  <c r="O33" i="138"/>
  <c r="Q15" i="138"/>
  <c r="P28" i="138"/>
  <c r="O34" i="138"/>
  <c r="O30" i="138"/>
  <c r="R16" i="138"/>
  <c r="Q14" i="138"/>
  <c r="T13" i="138"/>
  <c r="U13" i="138" s="1"/>
  <c r="P7" i="138"/>
  <c r="P32" i="138" s="1"/>
  <c r="P9" i="138"/>
  <c r="P8" i="138"/>
  <c r="P6" i="138"/>
  <c r="P27" i="138" s="1"/>
  <c r="O23" i="137"/>
  <c r="P23" i="137"/>
  <c r="P22" i="137"/>
  <c r="O22" i="137"/>
  <c r="CG11" i="138" l="1"/>
  <c r="CH11" i="138" s="1"/>
  <c r="CI11" i="138" s="1"/>
  <c r="CG12" i="138"/>
  <c r="CH12" i="138" s="1"/>
  <c r="CI12" i="138" s="1"/>
  <c r="CG10" i="138"/>
  <c r="CH10" i="138" s="1"/>
  <c r="CI10" i="138" s="1"/>
  <c r="CE13" i="138"/>
  <c r="CF13" i="138" s="1"/>
  <c r="BQ11" i="138"/>
  <c r="BR11" i="138" s="1"/>
  <c r="BS11" i="138" s="1"/>
  <c r="BO13" i="138"/>
  <c r="BP13" i="138" s="1"/>
  <c r="BO12" i="138"/>
  <c r="BP12" i="138" s="1"/>
  <c r="BQ10" i="138"/>
  <c r="BR10" i="138" s="1"/>
  <c r="BS10" i="138" s="1"/>
  <c r="AY17" i="138"/>
  <c r="N44" i="138"/>
  <c r="O41" i="138"/>
  <c r="O42" i="138"/>
  <c r="Z12" i="138"/>
  <c r="AA12" i="138" s="1"/>
  <c r="S16" i="138"/>
  <c r="P33" i="138"/>
  <c r="P29" i="138"/>
  <c r="P31" i="138"/>
  <c r="R15" i="138"/>
  <c r="P34" i="138"/>
  <c r="P30" i="138"/>
  <c r="R14" i="138"/>
  <c r="V13" i="138"/>
  <c r="W13" i="138" s="1"/>
  <c r="X13" i="138" s="1"/>
  <c r="Y13" i="138" s="1"/>
  <c r="Q8" i="138"/>
  <c r="Q6" i="138"/>
  <c r="Q9" i="138"/>
  <c r="Q7" i="138"/>
  <c r="Q23" i="138" s="1"/>
  <c r="CG13" i="138" l="1"/>
  <c r="CH13" i="138" s="1"/>
  <c r="CI13" i="138" s="1"/>
  <c r="BQ13" i="138"/>
  <c r="BR13" i="138" s="1"/>
  <c r="BS13" i="138" s="1"/>
  <c r="BQ12" i="138"/>
  <c r="BR12" i="138" s="1"/>
  <c r="BS12" i="138" s="1"/>
  <c r="AZ17" i="138"/>
  <c r="P42" i="138"/>
  <c r="P43" i="138" s="1"/>
  <c r="Q27" i="138"/>
  <c r="Q18" i="138"/>
  <c r="Q20" i="138"/>
  <c r="Q24" i="138"/>
  <c r="AB12" i="138"/>
  <c r="AC12" i="138" s="1"/>
  <c r="Q28" i="138"/>
  <c r="Q19" i="138"/>
  <c r="Q25" i="138"/>
  <c r="Q21" i="138"/>
  <c r="O43" i="138"/>
  <c r="O44" i="138" s="1"/>
  <c r="Q22" i="138"/>
  <c r="Q32" i="138"/>
  <c r="Q31" i="138"/>
  <c r="S15" i="138"/>
  <c r="T16" i="138"/>
  <c r="Q33" i="138"/>
  <c r="Q29" i="138"/>
  <c r="Q30" i="138"/>
  <c r="Q34" i="138"/>
  <c r="S14" i="138"/>
  <c r="Z13" i="138"/>
  <c r="AA13" i="138" s="1"/>
  <c r="R9" i="138"/>
  <c r="R7" i="138"/>
  <c r="R28" i="138" s="1"/>
  <c r="R6" i="138"/>
  <c r="R31" i="138" s="1"/>
  <c r="R8" i="138"/>
  <c r="N8" i="137"/>
  <c r="N13" i="137"/>
  <c r="P21" i="137"/>
  <c r="O21" i="137"/>
  <c r="D8" i="136"/>
  <c r="M7" i="136"/>
  <c r="F42" i="136"/>
  <c r="G42" i="136"/>
  <c r="H42" i="136"/>
  <c r="I42" i="136"/>
  <c r="J42" i="136"/>
  <c r="K42" i="136"/>
  <c r="L42" i="136"/>
  <c r="M42" i="136"/>
  <c r="N42" i="136"/>
  <c r="O42" i="136"/>
  <c r="P42" i="136"/>
  <c r="Q42" i="136"/>
  <c r="R42" i="136"/>
  <c r="S42" i="136"/>
  <c r="E42" i="136"/>
  <c r="K20" i="137"/>
  <c r="P20" i="137" s="1"/>
  <c r="K19" i="137"/>
  <c r="O20" i="137"/>
  <c r="P19" i="137"/>
  <c r="O19" i="137"/>
  <c r="Q19" i="137" s="1"/>
  <c r="P83" i="133"/>
  <c r="O83" i="133"/>
  <c r="P82" i="133"/>
  <c r="O82" i="133"/>
  <c r="S19" i="134"/>
  <c r="BA17" i="138" l="1"/>
  <c r="P44" i="138"/>
  <c r="AD12" i="138"/>
  <c r="AE12" i="138" s="1"/>
  <c r="Q42" i="138"/>
  <c r="Q41" i="138"/>
  <c r="R27" i="138"/>
  <c r="R30" i="138"/>
  <c r="R34" i="138"/>
  <c r="T14" i="138"/>
  <c r="R32" i="138"/>
  <c r="R29" i="138"/>
  <c r="R33" i="138"/>
  <c r="U16" i="138"/>
  <c r="T15" i="138"/>
  <c r="AB13" i="138"/>
  <c r="AC13" i="138" s="1"/>
  <c r="S8" i="138"/>
  <c r="S7" i="138"/>
  <c r="S23" i="138" s="1"/>
  <c r="S6" i="138"/>
  <c r="S31" i="138" s="1"/>
  <c r="S9" i="138"/>
  <c r="P18" i="137"/>
  <c r="O18" i="137"/>
  <c r="P81" i="133"/>
  <c r="O81" i="133"/>
  <c r="BB17" i="138" l="1"/>
  <c r="Q43" i="138"/>
  <c r="Q44" i="138" s="1"/>
  <c r="S20" i="138"/>
  <c r="S24" i="138"/>
  <c r="R42" i="138"/>
  <c r="R43" i="138" s="1"/>
  <c r="S25" i="138"/>
  <c r="S21" i="138"/>
  <c r="S27" i="138"/>
  <c r="S18" i="138"/>
  <c r="S22" i="138"/>
  <c r="AF12" i="138"/>
  <c r="AG12" i="138" s="1"/>
  <c r="S32" i="138"/>
  <c r="S19" i="138"/>
  <c r="S28" i="138"/>
  <c r="V16" i="138"/>
  <c r="U14" i="138"/>
  <c r="S33" i="138"/>
  <c r="S29" i="138"/>
  <c r="S30" i="138"/>
  <c r="S34" i="138"/>
  <c r="U15" i="138"/>
  <c r="AD13" i="138"/>
  <c r="AE13" i="138" s="1"/>
  <c r="T9" i="138"/>
  <c r="T8" i="138"/>
  <c r="T7" i="138"/>
  <c r="T32" i="138" s="1"/>
  <c r="T6" i="138"/>
  <c r="T27" i="138" s="1"/>
  <c r="F14" i="136"/>
  <c r="S14" i="136" s="1"/>
  <c r="D15" i="136"/>
  <c r="E15" i="136" s="1"/>
  <c r="F15" i="136" s="1"/>
  <c r="G15" i="136" s="1"/>
  <c r="H15" i="136" s="1"/>
  <c r="I15" i="136" s="1"/>
  <c r="J15" i="136" s="1"/>
  <c r="K15" i="136" s="1"/>
  <c r="M15" i="136" s="1"/>
  <c r="N15" i="136" s="1"/>
  <c r="O15" i="136" s="1"/>
  <c r="P15" i="136" s="1"/>
  <c r="Q15" i="136" s="1"/>
  <c r="R15" i="136" s="1"/>
  <c r="S15" i="136" s="1"/>
  <c r="E16" i="136"/>
  <c r="F16" i="136" s="1"/>
  <c r="G16" i="136" s="1"/>
  <c r="H16" i="136" s="1"/>
  <c r="I16" i="136" s="1"/>
  <c r="J16" i="136" s="1"/>
  <c r="K16" i="136" s="1"/>
  <c r="L16" i="136" s="1"/>
  <c r="M16" i="136" s="1"/>
  <c r="N16" i="136" s="1"/>
  <c r="O16" i="136" s="1"/>
  <c r="P16" i="136" s="1"/>
  <c r="Q16" i="136" s="1"/>
  <c r="R16" i="136" s="1"/>
  <c r="S16" i="136" s="1"/>
  <c r="G17" i="136"/>
  <c r="H17" i="136" s="1"/>
  <c r="I17" i="136" s="1"/>
  <c r="J17" i="136" s="1"/>
  <c r="K17" i="136" s="1"/>
  <c r="M17" i="136" s="1"/>
  <c r="N17" i="136" s="1"/>
  <c r="O17" i="136" s="1"/>
  <c r="P17" i="136" s="1"/>
  <c r="Q17" i="136" s="1"/>
  <c r="R17" i="136" s="1"/>
  <c r="S17" i="136" s="1"/>
  <c r="F18" i="136"/>
  <c r="G18" i="136" s="1"/>
  <c r="H18" i="136" s="1"/>
  <c r="I18" i="136" s="1"/>
  <c r="J18" i="136" s="1"/>
  <c r="K18" i="136" s="1"/>
  <c r="L18" i="136" s="1"/>
  <c r="M18" i="136" s="1"/>
  <c r="N18" i="136" s="1"/>
  <c r="O18" i="136" s="1"/>
  <c r="P18" i="136" s="1"/>
  <c r="Q18" i="136" s="1"/>
  <c r="R18" i="136" s="1"/>
  <c r="S18" i="136" s="1"/>
  <c r="L19" i="136"/>
  <c r="M19" i="136" s="1"/>
  <c r="N19" i="136" s="1"/>
  <c r="O19" i="136" s="1"/>
  <c r="E20" i="136"/>
  <c r="F20" i="136" s="1"/>
  <c r="G20" i="136" s="1"/>
  <c r="H20" i="136" s="1"/>
  <c r="I20" i="136" s="1"/>
  <c r="J20" i="136" s="1"/>
  <c r="K20" i="136" s="1"/>
  <c r="L20" i="136" s="1"/>
  <c r="M20" i="136" s="1"/>
  <c r="N20" i="136" s="1"/>
  <c r="O20" i="136" s="1"/>
  <c r="R20" i="136" s="1"/>
  <c r="S20" i="136" s="1"/>
  <c r="E22" i="136"/>
  <c r="F22" i="136" s="1"/>
  <c r="G22" i="136" s="1"/>
  <c r="H22" i="136" s="1"/>
  <c r="I22" i="136" s="1"/>
  <c r="J22" i="136" s="1"/>
  <c r="K22" i="136" s="1"/>
  <c r="L22" i="136" s="1"/>
  <c r="M22" i="136" s="1"/>
  <c r="N22" i="136" s="1"/>
  <c r="O22" i="136" s="1"/>
  <c r="P22" i="136" s="1"/>
  <c r="Q22" i="136" s="1"/>
  <c r="R22" i="136" s="1"/>
  <c r="S22" i="136" s="1"/>
  <c r="D13" i="136"/>
  <c r="M11" i="136"/>
  <c r="Q11" i="136" s="1"/>
  <c r="E12" i="136"/>
  <c r="F12" i="136" s="1"/>
  <c r="G12" i="136" s="1"/>
  <c r="H12" i="136" s="1"/>
  <c r="K12" i="136" s="1"/>
  <c r="L12" i="136" s="1"/>
  <c r="M12" i="136" s="1"/>
  <c r="N12" i="136" s="1"/>
  <c r="Q12" i="136" s="1"/>
  <c r="R12" i="136" s="1"/>
  <c r="F8" i="133"/>
  <c r="F21" i="137"/>
  <c r="C19" i="137"/>
  <c r="C18" i="137"/>
  <c r="C15" i="137"/>
  <c r="P17" i="137"/>
  <c r="O17" i="137"/>
  <c r="P16" i="137"/>
  <c r="O16" i="137"/>
  <c r="P15" i="137"/>
  <c r="O15" i="137"/>
  <c r="Q15" i="137" s="1"/>
  <c r="P14" i="137"/>
  <c r="O14" i="137"/>
  <c r="P13" i="137"/>
  <c r="O13" i="137"/>
  <c r="Q13" i="137" s="1"/>
  <c r="P12" i="137"/>
  <c r="O12" i="137"/>
  <c r="P11" i="137"/>
  <c r="O11" i="137"/>
  <c r="P10" i="137"/>
  <c r="O10" i="137"/>
  <c r="Q10" i="137" s="1"/>
  <c r="P9" i="137"/>
  <c r="O9" i="137"/>
  <c r="P8" i="137"/>
  <c r="O8" i="137"/>
  <c r="Q8" i="137" s="1"/>
  <c r="P7" i="137"/>
  <c r="O7" i="137"/>
  <c r="P6" i="137"/>
  <c r="O6" i="137"/>
  <c r="P5" i="137"/>
  <c r="O5" i="137"/>
  <c r="Q5" i="137" s="1"/>
  <c r="P4" i="137"/>
  <c r="O4" i="137"/>
  <c r="F13" i="137"/>
  <c r="C12" i="137"/>
  <c r="F4" i="136"/>
  <c r="D2" i="136"/>
  <c r="E2" i="136" s="1"/>
  <c r="F2" i="136" s="1"/>
  <c r="G2" i="136" s="1"/>
  <c r="H2" i="136" s="1"/>
  <c r="I2" i="136" s="1"/>
  <c r="J2" i="136" s="1"/>
  <c r="K2" i="136" s="1"/>
  <c r="L2" i="136" s="1"/>
  <c r="M2" i="136" s="1"/>
  <c r="N2" i="136" s="1"/>
  <c r="O2" i="136" s="1"/>
  <c r="P2" i="136" s="1"/>
  <c r="Q2" i="136" s="1"/>
  <c r="R2" i="136" s="1"/>
  <c r="S2" i="136" s="1"/>
  <c r="B22" i="136"/>
  <c r="B18" i="136"/>
  <c r="B17" i="136"/>
  <c r="B15" i="136"/>
  <c r="B14" i="136"/>
  <c r="C13" i="137" l="1"/>
  <c r="BC17" i="138"/>
  <c r="BD17" i="138" s="1"/>
  <c r="BE17" i="138" s="1"/>
  <c r="BF17" i="138" s="1"/>
  <c r="BG17" i="138" s="1"/>
  <c r="BH17" i="138" s="1"/>
  <c r="BI17" i="138" s="1"/>
  <c r="BJ17" i="138" s="1"/>
  <c r="BK17" i="138" s="1"/>
  <c r="BL17" i="138" s="1"/>
  <c r="BM17" i="138" s="1"/>
  <c r="BN17" i="138" s="1"/>
  <c r="R44" i="138"/>
  <c r="AH12" i="138"/>
  <c r="AI12" i="138" s="1"/>
  <c r="S42" i="138"/>
  <c r="S41" i="138"/>
  <c r="T28" i="138"/>
  <c r="T33" i="138"/>
  <c r="T29" i="138"/>
  <c r="V14" i="138"/>
  <c r="T34" i="138"/>
  <c r="T30" i="138"/>
  <c r="V15" i="138"/>
  <c r="W16" i="138"/>
  <c r="T31" i="138"/>
  <c r="AF13" i="138"/>
  <c r="AG13" i="138" s="1"/>
  <c r="U6" i="138"/>
  <c r="U22" i="138" s="1"/>
  <c r="U9" i="138"/>
  <c r="U8" i="138"/>
  <c r="U7" i="138"/>
  <c r="L37" i="136"/>
  <c r="C17" i="137"/>
  <c r="G4" i="136"/>
  <c r="C21" i="136"/>
  <c r="F28" i="137" s="1"/>
  <c r="Q10" i="136"/>
  <c r="C8" i="136"/>
  <c r="H4" i="136"/>
  <c r="I4" i="136" s="1"/>
  <c r="J4" i="136" s="1"/>
  <c r="K4" i="136" s="1"/>
  <c r="L4" i="136" s="1"/>
  <c r="M4" i="136" s="1"/>
  <c r="N4" i="136" s="1"/>
  <c r="O4" i="136" s="1"/>
  <c r="P4" i="136" s="1"/>
  <c r="Q4" i="136" s="1"/>
  <c r="R4" i="136" s="1"/>
  <c r="S4" i="136" s="1"/>
  <c r="C11" i="136" s="1"/>
  <c r="C24" i="137" s="1"/>
  <c r="C9" i="136"/>
  <c r="C12" i="136"/>
  <c r="C25" i="137" s="1"/>
  <c r="C19" i="136"/>
  <c r="F20" i="137" s="1"/>
  <c r="F19" i="137" s="1"/>
  <c r="F14" i="137"/>
  <c r="F16" i="137"/>
  <c r="F12" i="137"/>
  <c r="C14" i="137"/>
  <c r="D25" i="136"/>
  <c r="E25" i="136" s="1"/>
  <c r="F25" i="136" s="1"/>
  <c r="G25" i="136" s="1"/>
  <c r="H25" i="136" s="1"/>
  <c r="I25" i="136" s="1"/>
  <c r="J25" i="136" s="1"/>
  <c r="K25" i="136" s="1"/>
  <c r="L25" i="136" s="1"/>
  <c r="M25" i="136" s="1"/>
  <c r="N25" i="136" s="1"/>
  <c r="O25" i="136" s="1"/>
  <c r="P25" i="136" s="1"/>
  <c r="Q25" i="136" s="1"/>
  <c r="R25" i="136" s="1"/>
  <c r="S25" i="136" s="1"/>
  <c r="C20" i="136"/>
  <c r="C8" i="137" s="1"/>
  <c r="E13" i="136"/>
  <c r="D23" i="136"/>
  <c r="C16" i="136"/>
  <c r="C7" i="137" s="1"/>
  <c r="C17" i="136"/>
  <c r="F26" i="137" s="1"/>
  <c r="C22" i="136"/>
  <c r="F29" i="137" s="1"/>
  <c r="F21" i="133"/>
  <c r="C18" i="133"/>
  <c r="F13" i="133"/>
  <c r="C12" i="133"/>
  <c r="P6" i="134"/>
  <c r="N76" i="133"/>
  <c r="O76" i="133" s="1"/>
  <c r="P76" i="133"/>
  <c r="P19" i="134"/>
  <c r="P35" i="133"/>
  <c r="O35" i="133"/>
  <c r="P18" i="133"/>
  <c r="O18" i="133"/>
  <c r="Q8" i="134"/>
  <c r="N59" i="133"/>
  <c r="P59" i="133"/>
  <c r="N40" i="133"/>
  <c r="N34" i="133"/>
  <c r="N70" i="133"/>
  <c r="N29" i="133"/>
  <c r="N22" i="133"/>
  <c r="N50" i="133"/>
  <c r="N31" i="133"/>
  <c r="N57" i="133"/>
  <c r="P49" i="133"/>
  <c r="O49" i="133"/>
  <c r="N11" i="133"/>
  <c r="N42" i="133"/>
  <c r="N38" i="133"/>
  <c r="N68" i="133"/>
  <c r="L36" i="136" l="1"/>
  <c r="BO17" i="138"/>
  <c r="S43" i="138"/>
  <c r="S44" i="138" s="1"/>
  <c r="T42" i="138"/>
  <c r="T43" i="138" s="1"/>
  <c r="U25" i="138"/>
  <c r="U21" i="138"/>
  <c r="U32" i="138"/>
  <c r="U19" i="138"/>
  <c r="AJ12" i="138"/>
  <c r="AK12" i="138" s="1"/>
  <c r="U23" i="138"/>
  <c r="U20" i="138"/>
  <c r="U24" i="138"/>
  <c r="U28" i="138"/>
  <c r="U27" i="138"/>
  <c r="U18" i="138"/>
  <c r="U30" i="138"/>
  <c r="U34" i="138"/>
  <c r="W14" i="138"/>
  <c r="U31" i="138"/>
  <c r="X16" i="138"/>
  <c r="U33" i="138"/>
  <c r="U29" i="138"/>
  <c r="W15" i="138"/>
  <c r="AH13" i="138"/>
  <c r="AI13" i="138" s="1"/>
  <c r="V7" i="138"/>
  <c r="V32" i="138" s="1"/>
  <c r="V6" i="138"/>
  <c r="V27" i="138" s="1"/>
  <c r="V9" i="138"/>
  <c r="V8" i="138"/>
  <c r="I38" i="136"/>
  <c r="F38" i="136"/>
  <c r="G38" i="136"/>
  <c r="K38" i="136"/>
  <c r="O38" i="136"/>
  <c r="H38" i="136"/>
  <c r="L35" i="136"/>
  <c r="C7" i="136"/>
  <c r="C27" i="137" s="1"/>
  <c r="F13" i="136"/>
  <c r="C10" i="136"/>
  <c r="C28" i="137" s="1"/>
  <c r="H13" i="136"/>
  <c r="I13" i="136"/>
  <c r="J13" i="136"/>
  <c r="G13" i="136"/>
  <c r="K13" i="136"/>
  <c r="C6" i="137"/>
  <c r="C11" i="137"/>
  <c r="C18" i="136"/>
  <c r="F27" i="137" s="1"/>
  <c r="E23" i="136"/>
  <c r="O59" i="133"/>
  <c r="Q59" i="133" s="1"/>
  <c r="P46" i="133"/>
  <c r="O46" i="133"/>
  <c r="N14" i="133"/>
  <c r="P8" i="134"/>
  <c r="L38" i="136" l="1"/>
  <c r="V28" i="138"/>
  <c r="BP17" i="138"/>
  <c r="T44" i="138"/>
  <c r="U42" i="138"/>
  <c r="U41" i="138"/>
  <c r="AL12" i="138"/>
  <c r="AM12" i="138" s="1"/>
  <c r="AN12" i="138" s="1"/>
  <c r="V31" i="138"/>
  <c r="X15" i="138"/>
  <c r="V29" i="138"/>
  <c r="V33" i="138"/>
  <c r="Y16" i="138"/>
  <c r="X14" i="138"/>
  <c r="V30" i="138"/>
  <c r="V34" i="138"/>
  <c r="AJ13" i="138"/>
  <c r="AK13" i="138" s="1"/>
  <c r="W8" i="138"/>
  <c r="W7" i="138"/>
  <c r="W28" i="138" s="1"/>
  <c r="W6" i="138"/>
  <c r="W31" i="138" s="1"/>
  <c r="W9" i="138"/>
  <c r="L13" i="136"/>
  <c r="F15" i="137"/>
  <c r="F23" i="136"/>
  <c r="C14" i="136"/>
  <c r="F24" i="137" s="1"/>
  <c r="N66" i="133"/>
  <c r="Q7" i="134"/>
  <c r="BQ17" i="138" l="1"/>
  <c r="V42" i="138"/>
  <c r="V43" i="138" s="1"/>
  <c r="AO12" i="138"/>
  <c r="AP12" i="138" s="1"/>
  <c r="U43" i="138"/>
  <c r="U44" i="138" s="1"/>
  <c r="W27" i="138"/>
  <c r="W29" i="138"/>
  <c r="W33" i="138"/>
  <c r="W32" i="138"/>
  <c r="W30" i="138"/>
  <c r="W34" i="138"/>
  <c r="Z16" i="138"/>
  <c r="Y14" i="138"/>
  <c r="Y15" i="138"/>
  <c r="AL13" i="138"/>
  <c r="AM13" i="138" s="1"/>
  <c r="AN13" i="138" s="1"/>
  <c r="X9" i="138"/>
  <c r="X8" i="138"/>
  <c r="X7" i="138"/>
  <c r="X32" i="138" s="1"/>
  <c r="X6" i="138"/>
  <c r="X31" i="138" s="1"/>
  <c r="M13" i="136"/>
  <c r="G23" i="136"/>
  <c r="O19" i="134"/>
  <c r="P67" i="133"/>
  <c r="O67" i="133"/>
  <c r="N24" i="133"/>
  <c r="BR17" i="138" l="1"/>
  <c r="V44" i="138"/>
  <c r="W42" i="138"/>
  <c r="W43" i="138" s="1"/>
  <c r="X28" i="138"/>
  <c r="X29" i="138"/>
  <c r="X33" i="138"/>
  <c r="Z14" i="138"/>
  <c r="X30" i="138"/>
  <c r="X34" i="138"/>
  <c r="Z15" i="138"/>
  <c r="AA16" i="138"/>
  <c r="X27" i="138"/>
  <c r="AO13" i="138"/>
  <c r="AP13" i="138" s="1"/>
  <c r="Y9" i="138"/>
  <c r="Y8" i="138"/>
  <c r="Y6" i="138"/>
  <c r="Y7" i="138"/>
  <c r="Y23" i="138" s="1"/>
  <c r="N13" i="136"/>
  <c r="H23" i="136"/>
  <c r="P64" i="133"/>
  <c r="O64" i="133"/>
  <c r="P7" i="133"/>
  <c r="O7" i="133"/>
  <c r="BS17" i="138" l="1"/>
  <c r="BT17" i="138" s="1"/>
  <c r="BU17" i="138" s="1"/>
  <c r="BV17" i="138" s="1"/>
  <c r="BW17" i="138" s="1"/>
  <c r="BX17" i="138" s="1"/>
  <c r="BY17" i="138" s="1"/>
  <c r="BZ17" i="138" s="1"/>
  <c r="CA17" i="138" s="1"/>
  <c r="CB17" i="138" s="1"/>
  <c r="CC17" i="138" s="1"/>
  <c r="CD17" i="138" s="1"/>
  <c r="CE17" i="138" s="1"/>
  <c r="CF17" i="138" s="1"/>
  <c r="CG17" i="138" s="1"/>
  <c r="CH17" i="138" s="1"/>
  <c r="CI17" i="138" s="1"/>
  <c r="W44" i="138"/>
  <c r="Y20" i="138"/>
  <c r="Y24" i="138"/>
  <c r="X42" i="138"/>
  <c r="X43" i="138" s="1"/>
  <c r="Y25" i="138"/>
  <c r="Y21" i="138"/>
  <c r="Y31" i="138"/>
  <c r="Y18" i="138"/>
  <c r="Y28" i="138"/>
  <c r="Y19" i="138"/>
  <c r="Y22" i="138"/>
  <c r="Y32" i="138"/>
  <c r="Y27" i="138"/>
  <c r="Y33" i="138"/>
  <c r="Y29" i="138"/>
  <c r="AA14" i="138"/>
  <c r="Y30" i="138"/>
  <c r="Y34" i="138"/>
  <c r="AB16" i="138"/>
  <c r="AA15" i="138"/>
  <c r="Z6" i="138"/>
  <c r="Z27" i="138" s="1"/>
  <c r="Z7" i="138"/>
  <c r="Z28" i="138" s="1"/>
  <c r="Z9" i="138"/>
  <c r="Z8" i="138"/>
  <c r="O13" i="136"/>
  <c r="I23" i="136"/>
  <c r="N12" i="133"/>
  <c r="M6" i="134"/>
  <c r="X44" i="138" l="1"/>
  <c r="Z31" i="138"/>
  <c r="Y42" i="138"/>
  <c r="Y41" i="138"/>
  <c r="Z32" i="138"/>
  <c r="Z34" i="138"/>
  <c r="Z30" i="138"/>
  <c r="AB15" i="138"/>
  <c r="AB14" i="138"/>
  <c r="Z29" i="138"/>
  <c r="Z33" i="138"/>
  <c r="AC16" i="138"/>
  <c r="AA7" i="138"/>
  <c r="AA32" i="138" s="1"/>
  <c r="AA6" i="138"/>
  <c r="AA8" i="138"/>
  <c r="AA9" i="138"/>
  <c r="P13" i="136"/>
  <c r="J23" i="136"/>
  <c r="K7" i="134"/>
  <c r="P24" i="133"/>
  <c r="O24" i="133"/>
  <c r="P31" i="133"/>
  <c r="O31" i="133"/>
  <c r="Q31" i="133" s="1"/>
  <c r="P66" i="133"/>
  <c r="O66" i="133"/>
  <c r="J19" i="134"/>
  <c r="J8" i="134"/>
  <c r="N72" i="133"/>
  <c r="N74" i="133"/>
  <c r="P42" i="133"/>
  <c r="O42" i="133"/>
  <c r="Q42" i="133" s="1"/>
  <c r="P14" i="133"/>
  <c r="O14" i="133"/>
  <c r="P40" i="133"/>
  <c r="O40" i="133"/>
  <c r="Q40" i="133" s="1"/>
  <c r="P60" i="133"/>
  <c r="O60" i="133"/>
  <c r="P13" i="133"/>
  <c r="O13" i="133"/>
  <c r="P70" i="133"/>
  <c r="O70" i="133"/>
  <c r="Q70" i="133" s="1"/>
  <c r="P50" i="133"/>
  <c r="O50" i="133"/>
  <c r="Q50" i="133" s="1"/>
  <c r="K19" i="134"/>
  <c r="N48" i="133"/>
  <c r="N23" i="133"/>
  <c r="N69" i="133"/>
  <c r="N33" i="133"/>
  <c r="N58" i="133"/>
  <c r="N54" i="133"/>
  <c r="N52" i="133"/>
  <c r="N71" i="133"/>
  <c r="N16" i="133"/>
  <c r="O16" i="133" s="1"/>
  <c r="P16" i="133"/>
  <c r="N15" i="133"/>
  <c r="N61" i="133"/>
  <c r="N6" i="133"/>
  <c r="K8" i="134"/>
  <c r="P38" i="133"/>
  <c r="O38" i="133"/>
  <c r="Q38" i="133" s="1"/>
  <c r="P29" i="133"/>
  <c r="O29" i="133"/>
  <c r="Q29" i="133" s="1"/>
  <c r="P34" i="133"/>
  <c r="O34" i="133"/>
  <c r="Q34" i="133" s="1"/>
  <c r="P22" i="133"/>
  <c r="O22" i="133"/>
  <c r="Q22" i="133" s="1"/>
  <c r="P57" i="133"/>
  <c r="O57" i="133"/>
  <c r="Q57" i="133" s="1"/>
  <c r="P43" i="133"/>
  <c r="O43" i="133"/>
  <c r="P11" i="133"/>
  <c r="O11" i="133"/>
  <c r="Q11" i="133" s="1"/>
  <c r="P68" i="133"/>
  <c r="O68" i="133"/>
  <c r="Q68" i="133" s="1"/>
  <c r="L19" i="134"/>
  <c r="N17" i="133"/>
  <c r="N25" i="133"/>
  <c r="N44" i="133"/>
  <c r="N53" i="133"/>
  <c r="M41" i="133"/>
  <c r="N41" i="133" s="1"/>
  <c r="L8" i="134"/>
  <c r="Y43" i="138" l="1"/>
  <c r="Y44" i="138" s="1"/>
  <c r="AA23" i="138"/>
  <c r="Z42" i="138"/>
  <c r="Z43" i="138" s="1"/>
  <c r="AA25" i="138"/>
  <c r="AA21" i="138"/>
  <c r="AA20" i="138"/>
  <c r="AA24" i="138"/>
  <c r="AA27" i="138"/>
  <c r="AA18" i="138"/>
  <c r="AA28" i="138"/>
  <c r="AA19" i="138"/>
  <c r="AA22" i="138"/>
  <c r="AA29" i="138"/>
  <c r="AA33" i="138"/>
  <c r="AC15" i="138"/>
  <c r="AC14" i="138"/>
  <c r="AD16" i="138"/>
  <c r="AA31" i="138"/>
  <c r="AA34" i="138"/>
  <c r="AA30" i="138"/>
  <c r="AB8" i="138"/>
  <c r="AB7" i="138"/>
  <c r="AB28" i="138" s="1"/>
  <c r="AB9" i="138"/>
  <c r="AB6" i="138"/>
  <c r="AB27" i="138" s="1"/>
  <c r="Q13" i="136"/>
  <c r="K23" i="136"/>
  <c r="Q66" i="133"/>
  <c r="Q14" i="133"/>
  <c r="Q24" i="133"/>
  <c r="P63" i="133"/>
  <c r="O63" i="133"/>
  <c r="G6" i="134"/>
  <c r="AA41" i="138" l="1"/>
  <c r="Z44" i="138"/>
  <c r="AA42" i="138"/>
  <c r="AB31" i="138"/>
  <c r="AB32" i="138"/>
  <c r="AB29" i="138"/>
  <c r="AB33" i="138"/>
  <c r="AE16" i="138"/>
  <c r="AD15" i="138"/>
  <c r="AB30" i="138"/>
  <c r="AB34" i="138"/>
  <c r="AD14" i="138"/>
  <c r="AC9" i="138"/>
  <c r="AC8" i="138"/>
  <c r="AC6" i="138"/>
  <c r="AC18" i="138" s="1"/>
  <c r="AC7" i="138"/>
  <c r="AC32" i="138" s="1"/>
  <c r="S13" i="136"/>
  <c r="R13" i="136"/>
  <c r="C6" i="136"/>
  <c r="L23" i="136"/>
  <c r="H4" i="134"/>
  <c r="I4" i="134" s="1"/>
  <c r="J4" i="134" s="1"/>
  <c r="K4" i="134" s="1"/>
  <c r="L4" i="134" s="1"/>
  <c r="M4" i="134" s="1"/>
  <c r="N4" i="134" s="1"/>
  <c r="P4" i="134" s="1"/>
  <c r="Q4" i="134" s="1"/>
  <c r="R4" i="134" s="1"/>
  <c r="S4" i="134" s="1"/>
  <c r="P53" i="133"/>
  <c r="O53" i="133"/>
  <c r="P41" i="133"/>
  <c r="O41" i="133"/>
  <c r="N65" i="133"/>
  <c r="AC23" i="138" l="1"/>
  <c r="AA43" i="138"/>
  <c r="AA44" i="138" s="1"/>
  <c r="AB42" i="138"/>
  <c r="AB43" i="138" s="1"/>
  <c r="AC20" i="138"/>
  <c r="AC24" i="138"/>
  <c r="AC27" i="138"/>
  <c r="AC25" i="138"/>
  <c r="AC21" i="138"/>
  <c r="AC31" i="138"/>
  <c r="AC22" i="138"/>
  <c r="AC28" i="138"/>
  <c r="AC19" i="138"/>
  <c r="AC41" i="138" s="1"/>
  <c r="AC33" i="138"/>
  <c r="AC29" i="138"/>
  <c r="AE15" i="138"/>
  <c r="AC30" i="138"/>
  <c r="AC34" i="138"/>
  <c r="AF16" i="138"/>
  <c r="AE14" i="138"/>
  <c r="AD9" i="138"/>
  <c r="AD7" i="138"/>
  <c r="AD32" i="138" s="1"/>
  <c r="AD6" i="138"/>
  <c r="AD27" i="138" s="1"/>
  <c r="AD8" i="138"/>
  <c r="C26" i="137"/>
  <c r="C23" i="137" s="1"/>
  <c r="C13" i="136"/>
  <c r="M23" i="136"/>
  <c r="Q53" i="133"/>
  <c r="Q41" i="133"/>
  <c r="P56" i="133"/>
  <c r="O56" i="133"/>
  <c r="P12" i="133"/>
  <c r="O12" i="133"/>
  <c r="P48" i="133"/>
  <c r="O48" i="133"/>
  <c r="AB44" i="138" l="1"/>
  <c r="AC42" i="138"/>
  <c r="AC43" i="138" s="1"/>
  <c r="AD28" i="138"/>
  <c r="AD31" i="138"/>
  <c r="AD30" i="138"/>
  <c r="AD34" i="138"/>
  <c r="AF14" i="138"/>
  <c r="AF15" i="138"/>
  <c r="AD33" i="138"/>
  <c r="AD29" i="138"/>
  <c r="AG16" i="138"/>
  <c r="AE6" i="138"/>
  <c r="AE8" i="138"/>
  <c r="AE7" i="138"/>
  <c r="AE23" i="138" s="1"/>
  <c r="AE9" i="138"/>
  <c r="U14" i="136"/>
  <c r="V12" i="136"/>
  <c r="V9" i="136"/>
  <c r="V7" i="136"/>
  <c r="V8" i="136"/>
  <c r="V11" i="136"/>
  <c r="V10" i="136"/>
  <c r="V6" i="136"/>
  <c r="N23" i="136"/>
  <c r="Q12" i="133"/>
  <c r="Q48" i="133"/>
  <c r="P44" i="133"/>
  <c r="O44" i="133"/>
  <c r="AC44" i="138" l="1"/>
  <c r="AD42" i="138"/>
  <c r="AD43" i="138" s="1"/>
  <c r="AE32" i="138"/>
  <c r="AE27" i="138"/>
  <c r="AE18" i="138"/>
  <c r="AE22" i="138"/>
  <c r="AE25" i="138"/>
  <c r="AE21" i="138"/>
  <c r="AE28" i="138"/>
  <c r="AE19" i="138"/>
  <c r="AE20" i="138"/>
  <c r="AE24" i="138"/>
  <c r="AE31" i="138"/>
  <c r="AE29" i="138"/>
  <c r="AE33" i="138"/>
  <c r="AG15" i="138"/>
  <c r="AH16" i="138"/>
  <c r="AE34" i="138"/>
  <c r="AE30" i="138"/>
  <c r="AG14" i="138"/>
  <c r="AF7" i="138"/>
  <c r="AF32" i="138" s="1"/>
  <c r="AF8" i="138"/>
  <c r="AF9" i="138"/>
  <c r="AF6" i="138"/>
  <c r="AF27" i="138" s="1"/>
  <c r="V13" i="136"/>
  <c r="O23" i="136"/>
  <c r="Q44" i="133"/>
  <c r="P17" i="133"/>
  <c r="O17" i="133"/>
  <c r="N79" i="133"/>
  <c r="N36" i="133"/>
  <c r="N26" i="133"/>
  <c r="P69" i="133"/>
  <c r="O69" i="133"/>
  <c r="C5" i="134"/>
  <c r="E19" i="134"/>
  <c r="P58" i="133"/>
  <c r="O58" i="133"/>
  <c r="E6" i="134"/>
  <c r="AF28" i="138" l="1"/>
  <c r="AD44" i="138"/>
  <c r="AE41" i="138"/>
  <c r="AE42" i="138"/>
  <c r="AF31" i="138"/>
  <c r="AF34" i="138"/>
  <c r="AF30" i="138"/>
  <c r="AF33" i="138"/>
  <c r="AF29" i="138"/>
  <c r="AI16" i="138"/>
  <c r="AH14" i="138"/>
  <c r="AH15" i="138"/>
  <c r="AG8" i="138"/>
  <c r="AG6" i="138"/>
  <c r="AG22" i="138" s="1"/>
  <c r="AG9" i="138"/>
  <c r="AG7" i="138"/>
  <c r="P23" i="136"/>
  <c r="Q69" i="133"/>
  <c r="Q17" i="133"/>
  <c r="Q58" i="133"/>
  <c r="P25" i="133"/>
  <c r="O25" i="133"/>
  <c r="AG31" i="138" l="1"/>
  <c r="AF42" i="138"/>
  <c r="AF43" i="138" s="1"/>
  <c r="AG32" i="138"/>
  <c r="AG19" i="138"/>
  <c r="AG25" i="138"/>
  <c r="AG21" i="138"/>
  <c r="AG27" i="138"/>
  <c r="AG18" i="138"/>
  <c r="AG28" i="138"/>
  <c r="AG23" i="138"/>
  <c r="AG20" i="138"/>
  <c r="AG24" i="138"/>
  <c r="AE43" i="138"/>
  <c r="AE44" i="138" s="1"/>
  <c r="AG34" i="138"/>
  <c r="AG30" i="138"/>
  <c r="AI15" i="138"/>
  <c r="AJ16" i="138"/>
  <c r="AG29" i="138"/>
  <c r="AG33" i="138"/>
  <c r="AI14" i="138"/>
  <c r="AH9" i="138"/>
  <c r="AH7" i="138"/>
  <c r="AH28" i="138" s="1"/>
  <c r="AH6" i="138"/>
  <c r="AH27" i="138" s="1"/>
  <c r="AH8" i="138"/>
  <c r="Q23" i="136"/>
  <c r="Q25" i="133"/>
  <c r="P51" i="133"/>
  <c r="O51" i="133"/>
  <c r="P15" i="133"/>
  <c r="O15" i="133"/>
  <c r="P21" i="133"/>
  <c r="O21" i="133"/>
  <c r="N21" i="123"/>
  <c r="AG41" i="138" l="1"/>
  <c r="AF44" i="138"/>
  <c r="AH32" i="138"/>
  <c r="AG42" i="138"/>
  <c r="AH31" i="138"/>
  <c r="AK16" i="138"/>
  <c r="AH30" i="138"/>
  <c r="AH34" i="138"/>
  <c r="AJ14" i="138"/>
  <c r="AJ15" i="138"/>
  <c r="AH29" i="138"/>
  <c r="AH33" i="138"/>
  <c r="AI8" i="138"/>
  <c r="AI7" i="138"/>
  <c r="AI23" i="138" s="1"/>
  <c r="AI6" i="138"/>
  <c r="AI9" i="138"/>
  <c r="R23" i="136"/>
  <c r="Q15" i="133"/>
  <c r="M41" i="59"/>
  <c r="O41" i="59"/>
  <c r="M40" i="59"/>
  <c r="O40" i="59" s="1"/>
  <c r="M39" i="59"/>
  <c r="O34" i="59"/>
  <c r="O35" i="59"/>
  <c r="O36" i="59"/>
  <c r="O37" i="59"/>
  <c r="O38" i="59"/>
  <c r="O39" i="59"/>
  <c r="AG43" i="138" l="1"/>
  <c r="AG44" i="138" s="1"/>
  <c r="AH42" i="138"/>
  <c r="AH43" i="138" s="1"/>
  <c r="AI31" i="138"/>
  <c r="AI18" i="138"/>
  <c r="AI20" i="138"/>
  <c r="AI24" i="138"/>
  <c r="AI25" i="138"/>
  <c r="AI21" i="138"/>
  <c r="AI27" i="138"/>
  <c r="AI32" i="138"/>
  <c r="AI19" i="138"/>
  <c r="AI22" i="138"/>
  <c r="AK14" i="138"/>
  <c r="AI29" i="138"/>
  <c r="AI33" i="138"/>
  <c r="AK15" i="138"/>
  <c r="AI30" i="138"/>
  <c r="AI34" i="138"/>
  <c r="AI28" i="138"/>
  <c r="AL16" i="138"/>
  <c r="AJ9" i="138"/>
  <c r="AJ8" i="138"/>
  <c r="AJ7" i="138"/>
  <c r="AJ32" i="138" s="1"/>
  <c r="AJ6" i="138"/>
  <c r="AJ27" i="138" s="1"/>
  <c r="S23" i="136"/>
  <c r="C23" i="136" s="1"/>
  <c r="C15" i="136"/>
  <c r="F25" i="137" s="1"/>
  <c r="F23" i="137" s="1"/>
  <c r="G179" i="53"/>
  <c r="G178" i="53"/>
  <c r="G163" i="53"/>
  <c r="G164" i="53"/>
  <c r="G165" i="53"/>
  <c r="G166" i="53"/>
  <c r="G167" i="53"/>
  <c r="G168" i="53"/>
  <c r="G169" i="53"/>
  <c r="G170" i="53"/>
  <c r="G171" i="53"/>
  <c r="G172" i="53"/>
  <c r="G173" i="53"/>
  <c r="G174" i="53"/>
  <c r="G175" i="53"/>
  <c r="G176" i="53"/>
  <c r="G177" i="53"/>
  <c r="G162" i="53"/>
  <c r="G147" i="53"/>
  <c r="G148" i="53"/>
  <c r="G149" i="53"/>
  <c r="G150" i="53"/>
  <c r="G151" i="53"/>
  <c r="G152" i="53"/>
  <c r="G153" i="53"/>
  <c r="G154" i="53"/>
  <c r="G155" i="53"/>
  <c r="G156" i="53"/>
  <c r="G157" i="53"/>
  <c r="G158" i="53"/>
  <c r="G159" i="53"/>
  <c r="G160" i="53"/>
  <c r="G161" i="53"/>
  <c r="G146" i="53"/>
  <c r="G131" i="53"/>
  <c r="G132" i="53"/>
  <c r="G133" i="53"/>
  <c r="G134" i="53"/>
  <c r="G135" i="53"/>
  <c r="G136" i="53"/>
  <c r="G137" i="53"/>
  <c r="G138" i="53"/>
  <c r="G139" i="53"/>
  <c r="G140" i="53"/>
  <c r="G141" i="53"/>
  <c r="G142" i="53"/>
  <c r="G143" i="53"/>
  <c r="G144" i="53"/>
  <c r="G145" i="53"/>
  <c r="G130" i="53"/>
  <c r="G115" i="53"/>
  <c r="G116" i="53"/>
  <c r="G117" i="53"/>
  <c r="G118" i="53"/>
  <c r="G119" i="53"/>
  <c r="G120" i="53"/>
  <c r="G121" i="53"/>
  <c r="G122" i="53"/>
  <c r="G123" i="53"/>
  <c r="G124" i="53"/>
  <c r="G125" i="53"/>
  <c r="G126" i="53"/>
  <c r="G127" i="53"/>
  <c r="G128" i="53"/>
  <c r="G129" i="53"/>
  <c r="G114" i="53"/>
  <c r="G99" i="53"/>
  <c r="G100" i="53"/>
  <c r="G101" i="53"/>
  <c r="G102" i="53"/>
  <c r="G103" i="53"/>
  <c r="G104" i="53"/>
  <c r="G105" i="53"/>
  <c r="G106" i="53"/>
  <c r="G107" i="53"/>
  <c r="G108" i="53"/>
  <c r="G109" i="53"/>
  <c r="G110" i="53"/>
  <c r="G111" i="53"/>
  <c r="G112" i="53"/>
  <c r="G113" i="53"/>
  <c r="G98" i="53"/>
  <c r="G84" i="53"/>
  <c r="G85" i="53"/>
  <c r="G86" i="53"/>
  <c r="G87" i="53"/>
  <c r="G88" i="53"/>
  <c r="G89" i="53"/>
  <c r="G90" i="53"/>
  <c r="G91" i="53"/>
  <c r="G92" i="53"/>
  <c r="G93" i="53"/>
  <c r="G94" i="53"/>
  <c r="G95" i="53"/>
  <c r="G96" i="53"/>
  <c r="G97" i="53"/>
  <c r="G83" i="53"/>
  <c r="G82" i="53"/>
  <c r="F120" i="53"/>
  <c r="F121" i="53"/>
  <c r="F122" i="53"/>
  <c r="F123" i="53"/>
  <c r="F124" i="53"/>
  <c r="F125" i="53"/>
  <c r="F126" i="53"/>
  <c r="F127" i="53"/>
  <c r="F128" i="53"/>
  <c r="F129" i="53"/>
  <c r="F130" i="53"/>
  <c r="F131" i="53"/>
  <c r="F132" i="53"/>
  <c r="F133" i="53"/>
  <c r="F134" i="53"/>
  <c r="F135" i="53"/>
  <c r="F136" i="53"/>
  <c r="F137" i="53"/>
  <c r="F138" i="53"/>
  <c r="F139" i="53"/>
  <c r="F140" i="53"/>
  <c r="F141" i="53"/>
  <c r="F142" i="53"/>
  <c r="F143" i="53"/>
  <c r="F144" i="53"/>
  <c r="F145" i="53"/>
  <c r="F146" i="53"/>
  <c r="F147" i="53"/>
  <c r="F148" i="53"/>
  <c r="F149" i="53"/>
  <c r="F150" i="53"/>
  <c r="F151" i="53"/>
  <c r="F152" i="53"/>
  <c r="F153" i="53"/>
  <c r="F154" i="53"/>
  <c r="F155" i="53"/>
  <c r="F156" i="53"/>
  <c r="F157" i="53"/>
  <c r="F158" i="53"/>
  <c r="F159" i="53"/>
  <c r="F160" i="53"/>
  <c r="F161" i="53"/>
  <c r="F162" i="53"/>
  <c r="F163" i="53"/>
  <c r="F164" i="53"/>
  <c r="F165" i="53"/>
  <c r="F166" i="53"/>
  <c r="F167" i="53"/>
  <c r="F168" i="53"/>
  <c r="F169" i="53"/>
  <c r="F170" i="53"/>
  <c r="F171" i="53"/>
  <c r="F172" i="53"/>
  <c r="F173" i="53"/>
  <c r="F174" i="53"/>
  <c r="F175" i="53"/>
  <c r="F176" i="53"/>
  <c r="F177" i="53"/>
  <c r="F178" i="53"/>
  <c r="F179" i="53"/>
  <c r="D179" i="53"/>
  <c r="D178" i="53"/>
  <c r="D163" i="53"/>
  <c r="D164" i="53"/>
  <c r="D165" i="53"/>
  <c r="D166" i="53"/>
  <c r="D167" i="53"/>
  <c r="D168" i="53"/>
  <c r="D169" i="53"/>
  <c r="D170" i="53"/>
  <c r="D171" i="53"/>
  <c r="D172" i="53"/>
  <c r="D173" i="53"/>
  <c r="D174" i="53"/>
  <c r="D175" i="53"/>
  <c r="D176" i="53"/>
  <c r="D177" i="53"/>
  <c r="D162" i="53"/>
  <c r="D147" i="53"/>
  <c r="D148" i="53"/>
  <c r="D149" i="53"/>
  <c r="D150" i="53"/>
  <c r="D151" i="53"/>
  <c r="D152" i="53"/>
  <c r="D153" i="53"/>
  <c r="D154" i="53"/>
  <c r="D155" i="53"/>
  <c r="D156" i="53"/>
  <c r="D157" i="53"/>
  <c r="D158" i="53"/>
  <c r="D159" i="53"/>
  <c r="D160" i="53"/>
  <c r="D161" i="53"/>
  <c r="D146" i="53"/>
  <c r="D131" i="53"/>
  <c r="D132" i="53"/>
  <c r="D133" i="53"/>
  <c r="D134" i="53"/>
  <c r="D135" i="53"/>
  <c r="D136" i="53"/>
  <c r="D137" i="53"/>
  <c r="D138" i="53"/>
  <c r="D139" i="53"/>
  <c r="D140" i="53"/>
  <c r="D141" i="53"/>
  <c r="D142" i="53"/>
  <c r="D143" i="53"/>
  <c r="D144" i="53"/>
  <c r="D145" i="53"/>
  <c r="D130" i="53"/>
  <c r="D115" i="53"/>
  <c r="D116" i="53"/>
  <c r="D117" i="53"/>
  <c r="D118" i="53"/>
  <c r="D119" i="53"/>
  <c r="D120" i="53"/>
  <c r="D121" i="53"/>
  <c r="D122" i="53"/>
  <c r="D123" i="53"/>
  <c r="D124" i="53"/>
  <c r="D125" i="53"/>
  <c r="D126" i="53"/>
  <c r="D127" i="53"/>
  <c r="D128" i="53"/>
  <c r="D129" i="53"/>
  <c r="D114" i="53"/>
  <c r="D99" i="53"/>
  <c r="D100" i="53"/>
  <c r="D101" i="53"/>
  <c r="D102" i="53"/>
  <c r="D103" i="53"/>
  <c r="D104" i="53"/>
  <c r="D105" i="53"/>
  <c r="D106" i="53"/>
  <c r="D107" i="53"/>
  <c r="D108" i="53"/>
  <c r="D109" i="53"/>
  <c r="D110" i="53"/>
  <c r="D111" i="53"/>
  <c r="D112" i="53"/>
  <c r="D113" i="53"/>
  <c r="D98" i="53"/>
  <c r="D83" i="53"/>
  <c r="D84" i="53"/>
  <c r="D85" i="53"/>
  <c r="D86" i="53"/>
  <c r="D87" i="53"/>
  <c r="D88" i="53"/>
  <c r="D89" i="53"/>
  <c r="D90" i="53"/>
  <c r="D91" i="53"/>
  <c r="D92" i="53"/>
  <c r="D93" i="53"/>
  <c r="D94" i="53"/>
  <c r="D95" i="53"/>
  <c r="D96" i="53"/>
  <c r="D97" i="53"/>
  <c r="D82" i="53"/>
  <c r="C120" i="53"/>
  <c r="C121" i="53"/>
  <c r="C122" i="53"/>
  <c r="C123" i="53"/>
  <c r="C124" i="53"/>
  <c r="C125" i="53"/>
  <c r="C126" i="53"/>
  <c r="C127" i="53"/>
  <c r="C128" i="53"/>
  <c r="C129" i="53"/>
  <c r="C130" i="53"/>
  <c r="C131" i="53"/>
  <c r="C132" i="53"/>
  <c r="C133" i="53"/>
  <c r="C134" i="53"/>
  <c r="C135" i="53"/>
  <c r="C136" i="53"/>
  <c r="C137" i="53"/>
  <c r="C138" i="53"/>
  <c r="C139" i="53"/>
  <c r="C140" i="53"/>
  <c r="C141" i="53"/>
  <c r="C142" i="53"/>
  <c r="C143" i="53"/>
  <c r="C144" i="53"/>
  <c r="C145" i="53"/>
  <c r="C146" i="53"/>
  <c r="C147" i="53"/>
  <c r="C148" i="53"/>
  <c r="C149" i="53"/>
  <c r="C150" i="53"/>
  <c r="C151" i="53"/>
  <c r="C152" i="53"/>
  <c r="C153" i="53"/>
  <c r="C154" i="53"/>
  <c r="C155" i="53"/>
  <c r="C156" i="53"/>
  <c r="C157" i="53"/>
  <c r="C158" i="53"/>
  <c r="C159" i="53"/>
  <c r="C160" i="53"/>
  <c r="C161" i="53"/>
  <c r="C162" i="53"/>
  <c r="C163" i="53"/>
  <c r="C164" i="53"/>
  <c r="C165" i="53"/>
  <c r="C166" i="53"/>
  <c r="C167" i="53"/>
  <c r="C168" i="53"/>
  <c r="C169" i="53"/>
  <c r="C170" i="53"/>
  <c r="C171" i="53"/>
  <c r="C172" i="53"/>
  <c r="C173" i="53"/>
  <c r="C174" i="53"/>
  <c r="C175" i="53"/>
  <c r="C176" i="53"/>
  <c r="C177" i="53"/>
  <c r="C178" i="53"/>
  <c r="C179" i="53"/>
  <c r="E8" i="134"/>
  <c r="N8" i="133"/>
  <c r="N47" i="133"/>
  <c r="N27" i="133"/>
  <c r="N9" i="133"/>
  <c r="N32" i="133"/>
  <c r="P52" i="133"/>
  <c r="O52" i="133"/>
  <c r="P6" i="133"/>
  <c r="O6" i="133"/>
  <c r="AH44" i="138" l="1"/>
  <c r="AI41" i="138"/>
  <c r="AI42" i="138"/>
  <c r="AJ28" i="138"/>
  <c r="AJ33" i="138"/>
  <c r="AJ29" i="138"/>
  <c r="AL14" i="138"/>
  <c r="AJ34" i="138"/>
  <c r="AJ30" i="138"/>
  <c r="AJ31" i="138"/>
  <c r="AM16" i="138"/>
  <c r="AL15" i="138"/>
  <c r="AK6" i="138"/>
  <c r="AK22" i="138" s="1"/>
  <c r="AK8" i="138"/>
  <c r="AK9" i="138"/>
  <c r="AK7" i="138"/>
  <c r="AK19" i="138" s="1"/>
  <c r="F33" i="137"/>
  <c r="V24" i="136"/>
  <c r="U35" i="136"/>
  <c r="V30" i="136"/>
  <c r="V28" i="136"/>
  <c r="V26" i="136"/>
  <c r="V25" i="136"/>
  <c r="V31" i="136"/>
  <c r="V29" i="136"/>
  <c r="V27" i="136"/>
  <c r="V23" i="136"/>
  <c r="Q6" i="133"/>
  <c r="Q52" i="133"/>
  <c r="O29" i="59"/>
  <c r="O30" i="59"/>
  <c r="O31" i="59"/>
  <c r="O32" i="59"/>
  <c r="O33" i="59"/>
  <c r="O28" i="59"/>
  <c r="M23" i="59"/>
  <c r="M25" i="59"/>
  <c r="O25" i="59"/>
  <c r="AI43" i="138" l="1"/>
  <c r="AI44" i="138" s="1"/>
  <c r="AK23" i="138"/>
  <c r="AK32" i="138"/>
  <c r="AK28" i="138"/>
  <c r="AJ42" i="138"/>
  <c r="AJ43" i="138" s="1"/>
  <c r="AK20" i="138"/>
  <c r="AK24" i="138"/>
  <c r="AK27" i="138"/>
  <c r="AK18" i="138"/>
  <c r="AK25" i="138"/>
  <c r="AK21" i="138"/>
  <c r="AK33" i="138"/>
  <c r="AK29" i="138"/>
  <c r="AN16" i="138"/>
  <c r="AM14" i="138"/>
  <c r="AK31" i="138"/>
  <c r="AK34" i="138"/>
  <c r="AK30" i="138"/>
  <c r="AM15" i="138"/>
  <c r="AN5" i="138"/>
  <c r="AO5" i="138" s="1"/>
  <c r="AP5" i="138" s="1"/>
  <c r="AQ5" i="138" s="1"/>
  <c r="AR5" i="138" s="1"/>
  <c r="AS5" i="138" s="1"/>
  <c r="AT5" i="138" s="1"/>
  <c r="AU5" i="138" s="1"/>
  <c r="AV5" i="138" s="1"/>
  <c r="AW5" i="138" s="1"/>
  <c r="AX5" i="138" s="1"/>
  <c r="AY5" i="138" s="1"/>
  <c r="AZ5" i="138" s="1"/>
  <c r="BA5" i="138" s="1"/>
  <c r="BB5" i="138" s="1"/>
  <c r="BC5" i="138" s="1"/>
  <c r="BD5" i="138" s="1"/>
  <c r="BE5" i="138" s="1"/>
  <c r="BF5" i="138" s="1"/>
  <c r="BG5" i="138" s="1"/>
  <c r="BH5" i="138" s="1"/>
  <c r="BI5" i="138" s="1"/>
  <c r="BJ5" i="138" s="1"/>
  <c r="BK5" i="138" s="1"/>
  <c r="BL5" i="138" s="1"/>
  <c r="BM5" i="138" s="1"/>
  <c r="BN5" i="138" s="1"/>
  <c r="BO5" i="138" s="1"/>
  <c r="BP5" i="138" s="1"/>
  <c r="BQ5" i="138" s="1"/>
  <c r="BR5" i="138" s="1"/>
  <c r="BS5" i="138" s="1"/>
  <c r="AL7" i="138"/>
  <c r="AL32" i="138" s="1"/>
  <c r="AL6" i="138"/>
  <c r="AL27" i="138" s="1"/>
  <c r="AL9" i="138"/>
  <c r="AL8" i="138"/>
  <c r="V34" i="136"/>
  <c r="P74" i="133"/>
  <c r="O74" i="133"/>
  <c r="P23" i="133"/>
  <c r="O23" i="133"/>
  <c r="P72" i="133"/>
  <c r="O72" i="133"/>
  <c r="P71" i="133"/>
  <c r="O71" i="133"/>
  <c r="P33" i="133"/>
  <c r="O33" i="133"/>
  <c r="N30" i="133"/>
  <c r="AL28" i="138" l="1"/>
  <c r="BD9" i="138"/>
  <c r="BD6" i="138"/>
  <c r="BD8" i="138"/>
  <c r="BD7" i="138"/>
  <c r="AJ44" i="138"/>
  <c r="AK42" i="138"/>
  <c r="AK41" i="138"/>
  <c r="AN15" i="138"/>
  <c r="AL31" i="138"/>
  <c r="AL29" i="138"/>
  <c r="AL33" i="138"/>
  <c r="AO16" i="138"/>
  <c r="AL34" i="138"/>
  <c r="AL30" i="138"/>
  <c r="AN14" i="138"/>
  <c r="AM8" i="138"/>
  <c r="AM7" i="138"/>
  <c r="AM28" i="138" s="1"/>
  <c r="AM6" i="138"/>
  <c r="AM31" i="138" s="1"/>
  <c r="AM9" i="138"/>
  <c r="Q23" i="133"/>
  <c r="Q74" i="133"/>
  <c r="Q71" i="133"/>
  <c r="Q33" i="133"/>
  <c r="Q72" i="133"/>
  <c r="BD20" i="138" l="1"/>
  <c r="BD18" i="138"/>
  <c r="BD25" i="138"/>
  <c r="BD34" i="138"/>
  <c r="BD21" i="138"/>
  <c r="BD30" i="138"/>
  <c r="BD19" i="138"/>
  <c r="BE6" i="138"/>
  <c r="BE9" i="138"/>
  <c r="BE7" i="138"/>
  <c r="BE8" i="138"/>
  <c r="AL42" i="138"/>
  <c r="AL43" i="138" s="1"/>
  <c r="AK43" i="138"/>
  <c r="AK44" i="138" s="1"/>
  <c r="AM27" i="138"/>
  <c r="AM29" i="138"/>
  <c r="AM33" i="138"/>
  <c r="AO14" i="138"/>
  <c r="AM30" i="138"/>
  <c r="AM34" i="138"/>
  <c r="AM32" i="138"/>
  <c r="AP16" i="138"/>
  <c r="AQ16" i="138" s="1"/>
  <c r="AR16" i="138" s="1"/>
  <c r="AS16" i="138" s="1"/>
  <c r="AT16" i="138" s="1"/>
  <c r="AU16" i="138" s="1"/>
  <c r="AV16" i="138" s="1"/>
  <c r="AW16" i="138" s="1"/>
  <c r="AX16" i="138" s="1"/>
  <c r="AY16" i="138" s="1"/>
  <c r="AZ16" i="138" s="1"/>
  <c r="BA16" i="138" s="1"/>
  <c r="BB16" i="138" s="1"/>
  <c r="BC16" i="138" s="1"/>
  <c r="BD16" i="138" s="1"/>
  <c r="BE16" i="138" s="1"/>
  <c r="BF16" i="138" s="1"/>
  <c r="BG16" i="138" s="1"/>
  <c r="BH16" i="138" s="1"/>
  <c r="BI16" i="138" s="1"/>
  <c r="BJ16" i="138" s="1"/>
  <c r="BK16" i="138" s="1"/>
  <c r="BL16" i="138" s="1"/>
  <c r="BM16" i="138" s="1"/>
  <c r="BN16" i="138" s="1"/>
  <c r="BO16" i="138" s="1"/>
  <c r="BP16" i="138" s="1"/>
  <c r="BQ16" i="138" s="1"/>
  <c r="BR16" i="138" s="1"/>
  <c r="BS16" i="138" s="1"/>
  <c r="BT16" i="138" s="1"/>
  <c r="BU16" i="138" s="1"/>
  <c r="BV16" i="138" s="1"/>
  <c r="BW16" i="138" s="1"/>
  <c r="BX16" i="138" s="1"/>
  <c r="BY16" i="138" s="1"/>
  <c r="BZ16" i="138" s="1"/>
  <c r="CA16" i="138" s="1"/>
  <c r="CB16" i="138" s="1"/>
  <c r="CC16" i="138" s="1"/>
  <c r="CD16" i="138" s="1"/>
  <c r="CE16" i="138" s="1"/>
  <c r="CF16" i="138" s="1"/>
  <c r="CG16" i="138" s="1"/>
  <c r="CH16" i="138" s="1"/>
  <c r="CI16" i="138" s="1"/>
  <c r="AO15" i="138"/>
  <c r="AN9" i="138"/>
  <c r="AN8" i="138"/>
  <c r="AN7" i="138"/>
  <c r="AN6" i="138"/>
  <c r="AN22" i="138" s="1"/>
  <c r="P54" i="133"/>
  <c r="O54" i="133"/>
  <c r="L61" i="133"/>
  <c r="P61" i="133"/>
  <c r="O61" i="133"/>
  <c r="N37" i="133"/>
  <c r="N80" i="133"/>
  <c r="N39" i="133"/>
  <c r="N5" i="133"/>
  <c r="N73" i="133"/>
  <c r="P10" i="133"/>
  <c r="O10" i="133"/>
  <c r="N19" i="133"/>
  <c r="N75" i="133"/>
  <c r="N45" i="133"/>
  <c r="N62" i="133"/>
  <c r="N20" i="133"/>
  <c r="N55" i="133"/>
  <c r="N28" i="133"/>
  <c r="E9" i="134"/>
  <c r="BD24" i="138" l="1"/>
  <c r="BD29" i="138"/>
  <c r="BD33" i="138"/>
  <c r="BD41" i="138"/>
  <c r="BE34" i="138"/>
  <c r="BE30" i="138"/>
  <c r="BE29" i="138"/>
  <c r="BE33" i="138"/>
  <c r="BF8" i="138"/>
  <c r="BF6" i="138"/>
  <c r="BF9" i="138"/>
  <c r="BF7" i="138"/>
  <c r="AL44" i="138"/>
  <c r="AM42" i="138"/>
  <c r="AM43" i="138" s="1"/>
  <c r="AN32" i="138"/>
  <c r="AN19" i="138"/>
  <c r="AN20" i="138"/>
  <c r="AN24" i="138"/>
  <c r="AN25" i="138"/>
  <c r="AN21" i="138"/>
  <c r="AN23" i="138"/>
  <c r="AN31" i="138"/>
  <c r="AN18" i="138"/>
  <c r="AN27" i="138"/>
  <c r="AN28" i="138"/>
  <c r="AN30" i="138"/>
  <c r="AN34" i="138"/>
  <c r="AP15" i="138"/>
  <c r="AQ15" i="138" s="1"/>
  <c r="AR15" i="138" s="1"/>
  <c r="AS15" i="138" s="1"/>
  <c r="AT15" i="138" s="1"/>
  <c r="AU15" i="138" s="1"/>
  <c r="AV15" i="138" s="1"/>
  <c r="AW15" i="138" s="1"/>
  <c r="AX15" i="138" s="1"/>
  <c r="AY15" i="138" s="1"/>
  <c r="AZ15" i="138" s="1"/>
  <c r="BA15" i="138" s="1"/>
  <c r="BB15" i="138" s="1"/>
  <c r="BC15" i="138" s="1"/>
  <c r="BD15" i="138" s="1"/>
  <c r="AN29" i="138"/>
  <c r="AN33" i="138"/>
  <c r="AP14" i="138"/>
  <c r="AQ14" i="138" s="1"/>
  <c r="AR14" i="138" s="1"/>
  <c r="AS14" i="138" s="1"/>
  <c r="AT14" i="138" s="1"/>
  <c r="AU14" i="138" s="1"/>
  <c r="AV14" i="138" s="1"/>
  <c r="AW14" i="138" s="1"/>
  <c r="AX14" i="138" s="1"/>
  <c r="AY14" i="138" s="1"/>
  <c r="AZ14" i="138" s="1"/>
  <c r="BA14" i="138" s="1"/>
  <c r="BB14" i="138" s="1"/>
  <c r="BC14" i="138" s="1"/>
  <c r="BD14" i="138" s="1"/>
  <c r="AO9" i="138"/>
  <c r="AO8" i="138"/>
  <c r="AO6" i="138"/>
  <c r="AO31" i="138" s="1"/>
  <c r="AO7" i="138"/>
  <c r="AO32" i="138" s="1"/>
  <c r="C19" i="133"/>
  <c r="Q54" i="133"/>
  <c r="Q61" i="133"/>
  <c r="F18" i="134"/>
  <c r="G18" i="134" s="1"/>
  <c r="H18" i="134" s="1"/>
  <c r="I18" i="134" s="1"/>
  <c r="J18" i="134" s="1"/>
  <c r="K18" i="134" s="1"/>
  <c r="L18" i="134" s="1"/>
  <c r="M18" i="134" s="1"/>
  <c r="N18" i="134" s="1"/>
  <c r="O18" i="134" s="1"/>
  <c r="P18" i="134" s="1"/>
  <c r="Q18" i="134" s="1"/>
  <c r="R18" i="134" s="1"/>
  <c r="S18" i="134" s="1"/>
  <c r="F20" i="134"/>
  <c r="G20" i="134" s="1"/>
  <c r="H20" i="134" s="1"/>
  <c r="I20" i="134" s="1"/>
  <c r="J20" i="134" s="1"/>
  <c r="K20" i="134" s="1"/>
  <c r="L20" i="134" s="1"/>
  <c r="M20" i="134" s="1"/>
  <c r="N20" i="134" s="1"/>
  <c r="O20" i="134" s="1"/>
  <c r="P20" i="134" s="1"/>
  <c r="Q20" i="134" s="1"/>
  <c r="R20" i="134" s="1"/>
  <c r="S20" i="134" s="1"/>
  <c r="F22" i="134"/>
  <c r="G22" i="134" s="1"/>
  <c r="E16" i="134"/>
  <c r="F16" i="134" s="1"/>
  <c r="E17" i="134"/>
  <c r="F17" i="134" s="1"/>
  <c r="G17" i="134" s="1"/>
  <c r="H17" i="134" s="1"/>
  <c r="K17" i="134" s="1"/>
  <c r="L17" i="134" s="1"/>
  <c r="M17" i="134" s="1"/>
  <c r="N17" i="134" s="1"/>
  <c r="O17" i="134" s="1"/>
  <c r="P17" i="134" s="1"/>
  <c r="Q17" i="134" s="1"/>
  <c r="R17" i="134" s="1"/>
  <c r="S17" i="134" s="1"/>
  <c r="E18" i="134"/>
  <c r="H19" i="134"/>
  <c r="I19" i="134" s="1"/>
  <c r="N19" i="134" s="1"/>
  <c r="E20" i="134"/>
  <c r="E22" i="134"/>
  <c r="E15" i="134"/>
  <c r="F15" i="134" s="1"/>
  <c r="G15" i="134" s="1"/>
  <c r="H15" i="134" s="1"/>
  <c r="I15" i="134" s="1"/>
  <c r="J15" i="134" s="1"/>
  <c r="K15" i="134" s="1"/>
  <c r="L15" i="134" s="1"/>
  <c r="M15" i="134" s="1"/>
  <c r="N15" i="134" s="1"/>
  <c r="O15" i="134" s="1"/>
  <c r="P15" i="134" s="1"/>
  <c r="Q15" i="134" s="1"/>
  <c r="R15" i="134" s="1"/>
  <c r="S15" i="134" s="1"/>
  <c r="D15" i="134"/>
  <c r="I14" i="134"/>
  <c r="J14" i="134" s="1"/>
  <c r="F13" i="134"/>
  <c r="F17" i="123"/>
  <c r="D2" i="134"/>
  <c r="D25" i="134" s="1"/>
  <c r="E25" i="134" s="1"/>
  <c r="F25" i="134" s="1"/>
  <c r="G25" i="134" s="1"/>
  <c r="H25" i="134" s="1"/>
  <c r="I25" i="134" s="1"/>
  <c r="J25" i="134" s="1"/>
  <c r="K25" i="134" s="1"/>
  <c r="L25" i="134" s="1"/>
  <c r="M25" i="134" s="1"/>
  <c r="N25" i="134" s="1"/>
  <c r="O25" i="134" s="1"/>
  <c r="P25" i="134" s="1"/>
  <c r="Q25" i="134" s="1"/>
  <c r="R25" i="134" s="1"/>
  <c r="S25" i="134" s="1"/>
  <c r="S42" i="134"/>
  <c r="R42" i="134"/>
  <c r="Q42" i="134"/>
  <c r="P42" i="134"/>
  <c r="O42" i="134"/>
  <c r="N42" i="134"/>
  <c r="M42" i="134"/>
  <c r="L42" i="134"/>
  <c r="K42" i="134"/>
  <c r="J42" i="134"/>
  <c r="I42" i="134"/>
  <c r="H42" i="134"/>
  <c r="G42" i="134"/>
  <c r="F42" i="134"/>
  <c r="E42" i="134"/>
  <c r="B22" i="134"/>
  <c r="B18" i="134"/>
  <c r="B17" i="134"/>
  <c r="B15" i="134"/>
  <c r="B14" i="134"/>
  <c r="E13" i="134"/>
  <c r="D13" i="134"/>
  <c r="C12" i="134"/>
  <c r="C24" i="133" s="1"/>
  <c r="C11" i="134"/>
  <c r="C23" i="133" s="1"/>
  <c r="C10" i="134"/>
  <c r="C27" i="133" s="1"/>
  <c r="C9" i="134"/>
  <c r="C8" i="134"/>
  <c r="P36" i="133"/>
  <c r="O36" i="133"/>
  <c r="P5" i="133"/>
  <c r="O5" i="133"/>
  <c r="P62" i="133"/>
  <c r="O62" i="133"/>
  <c r="P79" i="133"/>
  <c r="O79" i="133"/>
  <c r="P39" i="133"/>
  <c r="O39" i="133"/>
  <c r="P27" i="133"/>
  <c r="O27" i="133"/>
  <c r="P55" i="133"/>
  <c r="O55" i="133"/>
  <c r="P80" i="133"/>
  <c r="O80" i="133"/>
  <c r="P32" i="133"/>
  <c r="O32" i="133"/>
  <c r="P75" i="133"/>
  <c r="O75" i="133"/>
  <c r="F14" i="133" s="1"/>
  <c r="P8" i="133"/>
  <c r="O8" i="133"/>
  <c r="P37" i="133"/>
  <c r="O37" i="133"/>
  <c r="P19" i="133"/>
  <c r="O19" i="133"/>
  <c r="P73" i="133"/>
  <c r="O73" i="133"/>
  <c r="P28" i="133"/>
  <c r="O28" i="133"/>
  <c r="P26" i="133"/>
  <c r="O26" i="133"/>
  <c r="P47" i="133"/>
  <c r="O47" i="133"/>
  <c r="P65" i="133"/>
  <c r="O65" i="133"/>
  <c r="P9" i="133"/>
  <c r="O9" i="133"/>
  <c r="P78" i="133"/>
  <c r="O78" i="133"/>
  <c r="P45" i="133"/>
  <c r="O45" i="133"/>
  <c r="P20" i="133"/>
  <c r="O20" i="133"/>
  <c r="P30" i="133"/>
  <c r="O30" i="133"/>
  <c r="P77" i="133"/>
  <c r="O77" i="133"/>
  <c r="P4" i="133"/>
  <c r="O4" i="133"/>
  <c r="Q6" i="122"/>
  <c r="BE15" i="138" l="1"/>
  <c r="BD32" i="138"/>
  <c r="BD28" i="138"/>
  <c r="BD23" i="138"/>
  <c r="BE14" i="138"/>
  <c r="BD31" i="138"/>
  <c r="BD22" i="138"/>
  <c r="BD27" i="138"/>
  <c r="BF20" i="138"/>
  <c r="BF33" i="138"/>
  <c r="BF24" i="138"/>
  <c r="BF29" i="138"/>
  <c r="BG6" i="138"/>
  <c r="BG7" i="138"/>
  <c r="BG8" i="138"/>
  <c r="BG9" i="138"/>
  <c r="BF21" i="138"/>
  <c r="BF34" i="138"/>
  <c r="BF25" i="138"/>
  <c r="BF30" i="138"/>
  <c r="BF19" i="138"/>
  <c r="BF18" i="138"/>
  <c r="AQ7" i="138"/>
  <c r="AQ8" i="138"/>
  <c r="AQ6" i="138"/>
  <c r="AQ9" i="138"/>
  <c r="AM44" i="138"/>
  <c r="AN41" i="138"/>
  <c r="AN42" i="138"/>
  <c r="AO28" i="138"/>
  <c r="AO30" i="138"/>
  <c r="AO34" i="138"/>
  <c r="AO27" i="138"/>
  <c r="AO33" i="138"/>
  <c r="AO29" i="138"/>
  <c r="AP8" i="138"/>
  <c r="AP6" i="138"/>
  <c r="AP7" i="138"/>
  <c r="AP32" i="138" s="1"/>
  <c r="AP9" i="138"/>
  <c r="F16" i="133"/>
  <c r="F15" i="133"/>
  <c r="C15" i="133"/>
  <c r="S37" i="134" s="1"/>
  <c r="F12" i="133"/>
  <c r="C13" i="133"/>
  <c r="S36" i="134" s="1"/>
  <c r="C14" i="133"/>
  <c r="S35" i="134" s="1"/>
  <c r="Q36" i="133"/>
  <c r="Q65" i="133"/>
  <c r="Q26" i="133"/>
  <c r="Q14" i="134"/>
  <c r="K14" i="134"/>
  <c r="L14" i="134" s="1"/>
  <c r="Q30" i="133"/>
  <c r="Q9" i="133"/>
  <c r="Q47" i="133"/>
  <c r="Q8" i="133"/>
  <c r="Q32" i="133"/>
  <c r="Q27" i="133"/>
  <c r="Q45" i="133"/>
  <c r="Q28" i="133"/>
  <c r="Q19" i="133"/>
  <c r="Q37" i="133"/>
  <c r="Q80" i="133"/>
  <c r="Q5" i="133"/>
  <c r="Q20" i="133"/>
  <c r="Q73" i="133"/>
  <c r="Q55" i="133"/>
  <c r="Q39" i="133"/>
  <c r="Q62" i="133"/>
  <c r="G16" i="134"/>
  <c r="H16" i="134" s="1"/>
  <c r="I16" i="134" s="1"/>
  <c r="J16" i="134" s="1"/>
  <c r="K16" i="134" s="1"/>
  <c r="L16" i="134" s="1"/>
  <c r="M16" i="134" s="1"/>
  <c r="N16" i="134" s="1"/>
  <c r="O16" i="134" s="1"/>
  <c r="P16" i="134" s="1"/>
  <c r="Q16" i="134" s="1"/>
  <c r="R16" i="134" s="1"/>
  <c r="S16" i="134" s="1"/>
  <c r="H7" i="134"/>
  <c r="H22" i="134"/>
  <c r="I22" i="134" s="1"/>
  <c r="J22" i="134" s="1"/>
  <c r="K22" i="134" s="1"/>
  <c r="L22" i="134" s="1"/>
  <c r="M22" i="134" s="1"/>
  <c r="N22" i="134" s="1"/>
  <c r="O22" i="134" s="1"/>
  <c r="P22" i="134" s="1"/>
  <c r="Q22" i="134" s="1"/>
  <c r="R22" i="134" s="1"/>
  <c r="S22" i="134" s="1"/>
  <c r="C20" i="134"/>
  <c r="C8" i="133" s="1"/>
  <c r="C14" i="134"/>
  <c r="F28" i="133" s="1"/>
  <c r="E2" i="134"/>
  <c r="F2" i="134" s="1"/>
  <c r="G2" i="134" s="1"/>
  <c r="H2" i="134" s="1"/>
  <c r="I2" i="134" s="1"/>
  <c r="J2" i="134" s="1"/>
  <c r="K2" i="134" s="1"/>
  <c r="L2" i="134" s="1"/>
  <c r="M2" i="134" s="1"/>
  <c r="N2" i="134" s="1"/>
  <c r="O2" i="134" s="1"/>
  <c r="P2" i="134" s="1"/>
  <c r="Q2" i="134" s="1"/>
  <c r="R2" i="134" s="1"/>
  <c r="S2" i="134" s="1"/>
  <c r="C19" i="134"/>
  <c r="F20" i="133" s="1"/>
  <c r="D23" i="134"/>
  <c r="C6" i="134"/>
  <c r="C25" i="133" s="1"/>
  <c r="E23" i="134"/>
  <c r="C17" i="134"/>
  <c r="F30" i="133" s="1"/>
  <c r="C21" i="134"/>
  <c r="F32" i="133" s="1"/>
  <c r="F27" i="133" s="1"/>
  <c r="C17" i="133"/>
  <c r="BF15" i="138" l="1"/>
  <c r="BE28" i="138"/>
  <c r="BE32" i="138"/>
  <c r="BF41" i="138"/>
  <c r="BD42" i="138"/>
  <c r="BD43" i="138" s="1"/>
  <c r="BF14" i="138"/>
  <c r="BE27" i="138"/>
  <c r="BE31" i="138"/>
  <c r="BG29" i="138"/>
  <c r="BG33" i="138"/>
  <c r="BG34" i="138"/>
  <c r="BG30" i="138"/>
  <c r="BH7" i="138"/>
  <c r="BH6" i="138"/>
  <c r="BH9" i="138"/>
  <c r="BH8" i="138"/>
  <c r="AQ30" i="138"/>
  <c r="AQ34" i="138"/>
  <c r="AR8" i="138"/>
  <c r="AR6" i="138"/>
  <c r="AR9" i="138"/>
  <c r="AR7" i="138"/>
  <c r="AQ31" i="138"/>
  <c r="AQ27" i="138"/>
  <c r="AQ29" i="138"/>
  <c r="AQ33" i="138"/>
  <c r="AQ28" i="138"/>
  <c r="AQ32" i="138"/>
  <c r="AP25" i="138"/>
  <c r="AP21" i="138"/>
  <c r="AP31" i="138"/>
  <c r="AP18" i="138"/>
  <c r="AP22" i="138"/>
  <c r="AP28" i="138"/>
  <c r="AP19" i="138"/>
  <c r="AP20" i="138"/>
  <c r="AP24" i="138"/>
  <c r="AO42" i="138"/>
  <c r="AO43" i="138" s="1"/>
  <c r="AN43" i="138"/>
  <c r="AN44" i="138" s="1"/>
  <c r="AP23" i="138"/>
  <c r="AP27" i="138"/>
  <c r="AP33" i="138"/>
  <c r="AP29" i="138"/>
  <c r="AP34" i="138"/>
  <c r="AP30" i="138"/>
  <c r="S38" i="134"/>
  <c r="C22" i="134"/>
  <c r="F33" i="133" s="1"/>
  <c r="H13" i="134"/>
  <c r="C16" i="134"/>
  <c r="C7" i="133" s="1"/>
  <c r="G13" i="134"/>
  <c r="J7" i="134"/>
  <c r="I13" i="134"/>
  <c r="F23" i="134"/>
  <c r="C11" i="133"/>
  <c r="C18" i="123"/>
  <c r="C19" i="123"/>
  <c r="F14" i="123"/>
  <c r="F15" i="123"/>
  <c r="F16" i="123"/>
  <c r="N62" i="123"/>
  <c r="N61" i="123"/>
  <c r="BG15" i="138" l="1"/>
  <c r="BF28" i="138"/>
  <c r="BF23" i="138"/>
  <c r="BF32" i="138"/>
  <c r="BE42" i="138"/>
  <c r="BE43" i="138" s="1"/>
  <c r="BG14" i="138"/>
  <c r="BF31" i="138"/>
  <c r="BF27" i="138"/>
  <c r="BF22" i="138"/>
  <c r="BH20" i="138"/>
  <c r="BH29" i="138"/>
  <c r="BH33" i="138"/>
  <c r="BH24" i="138"/>
  <c r="BI9" i="138"/>
  <c r="BI8" i="138"/>
  <c r="BI7" i="138"/>
  <c r="BI6" i="138"/>
  <c r="BH21" i="138"/>
  <c r="BH30" i="138"/>
  <c r="BH25" i="138"/>
  <c r="BH34" i="138"/>
  <c r="BH18" i="138"/>
  <c r="BH19" i="138"/>
  <c r="AP41" i="138"/>
  <c r="AQ42" i="138"/>
  <c r="AQ43" i="138" s="1"/>
  <c r="AR21" i="138"/>
  <c r="AR25" i="138"/>
  <c r="AR30" i="138"/>
  <c r="AR34" i="138"/>
  <c r="AR18" i="138"/>
  <c r="AR22" i="138"/>
  <c r="AR27" i="138"/>
  <c r="AR31" i="138"/>
  <c r="AR19" i="138"/>
  <c r="AR23" i="138"/>
  <c r="AR28" i="138"/>
  <c r="AR32" i="138"/>
  <c r="AR20" i="138"/>
  <c r="AR24" i="138"/>
  <c r="AR33" i="138"/>
  <c r="AR29" i="138"/>
  <c r="AS9" i="138"/>
  <c r="AS7" i="138"/>
  <c r="AS6" i="138"/>
  <c r="AS8" i="138"/>
  <c r="AO44" i="138"/>
  <c r="AP42" i="138"/>
  <c r="J13" i="134"/>
  <c r="G23" i="134"/>
  <c r="R1" i="132"/>
  <c r="T44" i="132"/>
  <c r="N34" i="132"/>
  <c r="M34" i="132"/>
  <c r="L34" i="132"/>
  <c r="T36" i="132"/>
  <c r="T33" i="132"/>
  <c r="T30" i="132"/>
  <c r="N18" i="132"/>
  <c r="L10" i="132"/>
  <c r="N10" i="132"/>
  <c r="P9" i="132"/>
  <c r="T60" i="132"/>
  <c r="P58" i="132"/>
  <c r="N53" i="132"/>
  <c r="P56" i="132"/>
  <c r="T48" i="132"/>
  <c r="BH15" i="138" l="1"/>
  <c r="BG32" i="138"/>
  <c r="BG28" i="138"/>
  <c r="BF42" i="138"/>
  <c r="BF43" i="138" s="1"/>
  <c r="BH14" i="138"/>
  <c r="BG27" i="138"/>
  <c r="BG31" i="138"/>
  <c r="BI33" i="138"/>
  <c r="BI29" i="138"/>
  <c r="BH41" i="138"/>
  <c r="BI34" i="138"/>
  <c r="BI30" i="138"/>
  <c r="BJ6" i="138"/>
  <c r="BJ7" i="138"/>
  <c r="BJ9" i="138"/>
  <c r="BJ8" i="138"/>
  <c r="AP43" i="138"/>
  <c r="AP44" i="138" s="1"/>
  <c r="AQ44" i="138" s="1"/>
  <c r="AT7" i="138"/>
  <c r="AT9" i="138"/>
  <c r="AT8" i="138"/>
  <c r="AT6" i="138"/>
  <c r="AR42" i="138"/>
  <c r="AS28" i="138"/>
  <c r="AS32" i="138"/>
  <c r="AS29" i="138"/>
  <c r="AS33" i="138"/>
  <c r="AS34" i="138"/>
  <c r="AS30" i="138"/>
  <c r="AR41" i="138"/>
  <c r="AS27" i="138"/>
  <c r="AS31" i="138"/>
  <c r="K13" i="134"/>
  <c r="H23" i="134"/>
  <c r="F21" i="123"/>
  <c r="P62" i="123"/>
  <c r="O62" i="123"/>
  <c r="P61" i="123"/>
  <c r="O61" i="123"/>
  <c r="BI15" i="138" l="1"/>
  <c r="BH23" i="138"/>
  <c r="BH28" i="138"/>
  <c r="BH32" i="138"/>
  <c r="BG42" i="138"/>
  <c r="BG43" i="138" s="1"/>
  <c r="BI14" i="138"/>
  <c r="BH31" i="138"/>
  <c r="BH27" i="138"/>
  <c r="BH22" i="138"/>
  <c r="BJ18" i="138"/>
  <c r="BJ20" i="138"/>
  <c r="BJ29" i="138"/>
  <c r="BJ24" i="138"/>
  <c r="BJ33" i="138"/>
  <c r="BJ21" i="138"/>
  <c r="BJ34" i="138"/>
  <c r="BJ25" i="138"/>
  <c r="BJ30" i="138"/>
  <c r="BK7" i="138"/>
  <c r="BK6" i="138"/>
  <c r="BK9" i="138"/>
  <c r="BK8" i="138"/>
  <c r="BJ19" i="138"/>
  <c r="AT18" i="138"/>
  <c r="AT22" i="138"/>
  <c r="AT27" i="138"/>
  <c r="AT31" i="138"/>
  <c r="AT19" i="138"/>
  <c r="AT23" i="138"/>
  <c r="AT28" i="138"/>
  <c r="AT32" i="138"/>
  <c r="AT20" i="138"/>
  <c r="AT24" i="138"/>
  <c r="AT29" i="138"/>
  <c r="AT33" i="138"/>
  <c r="AS42" i="138"/>
  <c r="AS43" i="138" s="1"/>
  <c r="AU8" i="138"/>
  <c r="AU6" i="138"/>
  <c r="AU9" i="138"/>
  <c r="AU7" i="138"/>
  <c r="AR43" i="138"/>
  <c r="AR44" i="138" s="1"/>
  <c r="AT34" i="138"/>
  <c r="AT21" i="138"/>
  <c r="AT25" i="138"/>
  <c r="AT30" i="138"/>
  <c r="L13" i="134"/>
  <c r="I23" i="134"/>
  <c r="T62" i="123"/>
  <c r="Q62" i="123"/>
  <c r="Q61" i="123"/>
  <c r="T61" i="123"/>
  <c r="BO37" i="130"/>
  <c r="BN37" i="130"/>
  <c r="BP37" i="130" s="1"/>
  <c r="BL37" i="130"/>
  <c r="BK37" i="130"/>
  <c r="BM37" i="130" s="1"/>
  <c r="BJ37" i="130"/>
  <c r="BI37" i="130"/>
  <c r="BH37" i="130"/>
  <c r="BF37" i="130"/>
  <c r="BE37" i="130"/>
  <c r="BD37" i="130"/>
  <c r="BC37" i="130"/>
  <c r="BB37" i="130"/>
  <c r="BA37" i="130"/>
  <c r="AZ37" i="130"/>
  <c r="AY37" i="130"/>
  <c r="AX37" i="130"/>
  <c r="AW37" i="130"/>
  <c r="AV37" i="130"/>
  <c r="AU37" i="130"/>
  <c r="AT37" i="130"/>
  <c r="AS37" i="130"/>
  <c r="AR37" i="130"/>
  <c r="AQ37" i="130"/>
  <c r="AP37" i="130"/>
  <c r="BG37" i="130" s="1"/>
  <c r="AO37" i="130"/>
  <c r="AN37" i="130"/>
  <c r="AM37" i="130"/>
  <c r="AL37" i="130"/>
  <c r="AK37" i="130"/>
  <c r="AJ37" i="130"/>
  <c r="AI37" i="130"/>
  <c r="AG37" i="130"/>
  <c r="AF37" i="130"/>
  <c r="AH37" i="130" s="1"/>
  <c r="AD37" i="130"/>
  <c r="AC37" i="130"/>
  <c r="AE37" i="130" s="1"/>
  <c r="AB37" i="130"/>
  <c r="AA37" i="130"/>
  <c r="Z37" i="130"/>
  <c r="Y37" i="130"/>
  <c r="X37" i="130"/>
  <c r="BO36" i="130"/>
  <c r="BN36" i="130"/>
  <c r="BP36" i="130" s="1"/>
  <c r="BL36" i="130"/>
  <c r="BK36" i="130"/>
  <c r="BM36" i="130" s="1"/>
  <c r="BJ36" i="130"/>
  <c r="BI36" i="130"/>
  <c r="BH36" i="130"/>
  <c r="BF36" i="130"/>
  <c r="BE36" i="130"/>
  <c r="BD36" i="130"/>
  <c r="BC36" i="130"/>
  <c r="BB36" i="130"/>
  <c r="BA36" i="130"/>
  <c r="AZ36" i="130"/>
  <c r="AY36" i="130"/>
  <c r="AX36" i="130"/>
  <c r="AW36" i="130"/>
  <c r="AV36" i="130"/>
  <c r="AU36" i="130"/>
  <c r="AT36" i="130"/>
  <c r="AS36" i="130"/>
  <c r="AR36" i="130"/>
  <c r="AQ36" i="130"/>
  <c r="AP36" i="130"/>
  <c r="BG36" i="130" s="1"/>
  <c r="AO36" i="130"/>
  <c r="AN36" i="130"/>
  <c r="AM36" i="130"/>
  <c r="AL36" i="130"/>
  <c r="AK36" i="130"/>
  <c r="AJ36" i="130"/>
  <c r="AI36" i="130"/>
  <c r="AG36" i="130"/>
  <c r="AF36" i="130"/>
  <c r="AH36" i="130" s="1"/>
  <c r="AD36" i="130"/>
  <c r="AC36" i="130"/>
  <c r="AE36" i="130" s="1"/>
  <c r="AB36" i="130"/>
  <c r="AA36" i="130"/>
  <c r="Z36" i="130"/>
  <c r="Y36" i="130"/>
  <c r="X36" i="130"/>
  <c r="BO35" i="130"/>
  <c r="BN35" i="130"/>
  <c r="BP35" i="130" s="1"/>
  <c r="BL35" i="130"/>
  <c r="BK35" i="130"/>
  <c r="BM35" i="130" s="1"/>
  <c r="BJ35" i="130"/>
  <c r="BI35" i="130"/>
  <c r="BH35" i="130"/>
  <c r="BF35" i="130"/>
  <c r="BE35" i="130"/>
  <c r="BD35" i="130"/>
  <c r="BC35" i="130"/>
  <c r="BB35" i="130"/>
  <c r="BA35" i="130"/>
  <c r="AZ35" i="130"/>
  <c r="AY35" i="130"/>
  <c r="AX35" i="130"/>
  <c r="AW35" i="130"/>
  <c r="AV35" i="130"/>
  <c r="AU35" i="130"/>
  <c r="AT35" i="130"/>
  <c r="AS35" i="130"/>
  <c r="AR35" i="130"/>
  <c r="AQ35" i="130"/>
  <c r="AP35" i="130"/>
  <c r="BG35" i="130" s="1"/>
  <c r="AO35" i="130"/>
  <c r="AN35" i="130"/>
  <c r="AM35" i="130"/>
  <c r="AL35" i="130"/>
  <c r="AK35" i="130"/>
  <c r="AJ35" i="130"/>
  <c r="AI35" i="130"/>
  <c r="AG35" i="130"/>
  <c r="AF35" i="130"/>
  <c r="AH35" i="130" s="1"/>
  <c r="AD35" i="130"/>
  <c r="AC35" i="130"/>
  <c r="AE35" i="130" s="1"/>
  <c r="AB35" i="130"/>
  <c r="AA35" i="130"/>
  <c r="Z35" i="130"/>
  <c r="Y35" i="130"/>
  <c r="X35" i="130"/>
  <c r="BO34" i="130"/>
  <c r="BN34" i="130"/>
  <c r="BP34" i="130" s="1"/>
  <c r="BL34" i="130"/>
  <c r="BK34" i="130"/>
  <c r="BM34" i="130" s="1"/>
  <c r="BJ34" i="130"/>
  <c r="BI34" i="130"/>
  <c r="BH34" i="130"/>
  <c r="BF34" i="130"/>
  <c r="BE34" i="130"/>
  <c r="BD34" i="130"/>
  <c r="BC34" i="130"/>
  <c r="BB34" i="130"/>
  <c r="BA34" i="130"/>
  <c r="AZ34" i="130"/>
  <c r="AY34" i="130"/>
  <c r="AX34" i="130"/>
  <c r="AW34" i="130"/>
  <c r="AV34" i="130"/>
  <c r="AU34" i="130"/>
  <c r="AT34" i="130"/>
  <c r="AS34" i="130"/>
  <c r="AR34" i="130"/>
  <c r="AQ34" i="130"/>
  <c r="AP34" i="130"/>
  <c r="BG34" i="130" s="1"/>
  <c r="AO34" i="130"/>
  <c r="AN34" i="130"/>
  <c r="AM34" i="130"/>
  <c r="AL34" i="130"/>
  <c r="AK34" i="130"/>
  <c r="AJ34" i="130"/>
  <c r="AI34" i="130"/>
  <c r="AG34" i="130"/>
  <c r="AF34" i="130"/>
  <c r="AH34" i="130" s="1"/>
  <c r="AD34" i="130"/>
  <c r="AC34" i="130"/>
  <c r="AE34" i="130" s="1"/>
  <c r="AB34" i="130"/>
  <c r="AA34" i="130"/>
  <c r="Z34" i="130"/>
  <c r="Y34" i="130"/>
  <c r="X34" i="130"/>
  <c r="BO33" i="130"/>
  <c r="BN33" i="130"/>
  <c r="BP33" i="130" s="1"/>
  <c r="BL33" i="130"/>
  <c r="BK33" i="130"/>
  <c r="BM33" i="130" s="1"/>
  <c r="BJ33" i="130"/>
  <c r="BI33" i="130"/>
  <c r="BH33" i="130"/>
  <c r="BF33" i="130"/>
  <c r="BE33" i="130"/>
  <c r="BD33" i="130"/>
  <c r="BC33" i="130"/>
  <c r="BB33" i="130"/>
  <c r="BA33" i="130"/>
  <c r="AZ33" i="130"/>
  <c r="AY33" i="130"/>
  <c r="AX33" i="130"/>
  <c r="AW33" i="130"/>
  <c r="AV33" i="130"/>
  <c r="AU33" i="130"/>
  <c r="AT33" i="130"/>
  <c r="AS33" i="130"/>
  <c r="AR33" i="130"/>
  <c r="AQ33" i="130"/>
  <c r="AP33" i="130"/>
  <c r="BG33" i="130" s="1"/>
  <c r="AO33" i="130"/>
  <c r="AN33" i="130"/>
  <c r="AM33" i="130"/>
  <c r="AL33" i="130"/>
  <c r="AK33" i="130"/>
  <c r="AJ33" i="130"/>
  <c r="AI33" i="130"/>
  <c r="AG33" i="130"/>
  <c r="AF33" i="130"/>
  <c r="AH33" i="130" s="1"/>
  <c r="AD33" i="130"/>
  <c r="AC33" i="130"/>
  <c r="AE33" i="130" s="1"/>
  <c r="AB33" i="130"/>
  <c r="AA33" i="130"/>
  <c r="Z33" i="130"/>
  <c r="Y33" i="130"/>
  <c r="X33" i="130"/>
  <c r="BO32" i="130"/>
  <c r="BN32" i="130"/>
  <c r="BP32" i="130" s="1"/>
  <c r="BL32" i="130"/>
  <c r="BK32" i="130"/>
  <c r="BM32" i="130" s="1"/>
  <c r="BJ32" i="130"/>
  <c r="BI32" i="130"/>
  <c r="BH32" i="130"/>
  <c r="BF32" i="130"/>
  <c r="BE32" i="130"/>
  <c r="BD32" i="130"/>
  <c r="BC32" i="130"/>
  <c r="BB32" i="130"/>
  <c r="BA32" i="130"/>
  <c r="AZ32" i="130"/>
  <c r="AY32" i="130"/>
  <c r="AX32" i="130"/>
  <c r="AW32" i="130"/>
  <c r="AV32" i="130"/>
  <c r="AU32" i="130"/>
  <c r="AT32" i="130"/>
  <c r="AS32" i="130"/>
  <c r="AR32" i="130"/>
  <c r="AQ32" i="130"/>
  <c r="AP32" i="130"/>
  <c r="BG32" i="130" s="1"/>
  <c r="AO32" i="130"/>
  <c r="AN32" i="130"/>
  <c r="AM32" i="130"/>
  <c r="AL32" i="130"/>
  <c r="AK32" i="130"/>
  <c r="AJ32" i="130"/>
  <c r="AI32" i="130"/>
  <c r="AG32" i="130"/>
  <c r="AF32" i="130"/>
  <c r="AH32" i="130" s="1"/>
  <c r="AD32" i="130"/>
  <c r="AC32" i="130"/>
  <c r="AE32" i="130" s="1"/>
  <c r="AB32" i="130"/>
  <c r="AA32" i="130"/>
  <c r="Z32" i="130"/>
  <c r="Y32" i="130"/>
  <c r="X32" i="130"/>
  <c r="BO31" i="130"/>
  <c r="BN31" i="130"/>
  <c r="BP31" i="130" s="1"/>
  <c r="BL31" i="130"/>
  <c r="BK31" i="130"/>
  <c r="BM31" i="130" s="1"/>
  <c r="BJ31" i="130"/>
  <c r="BI31" i="130"/>
  <c r="BH31" i="130"/>
  <c r="BF31" i="130"/>
  <c r="BE31" i="130"/>
  <c r="BD31" i="130"/>
  <c r="BC31" i="130"/>
  <c r="BB31" i="130"/>
  <c r="BA31" i="130"/>
  <c r="AZ31" i="130"/>
  <c r="AY31" i="130"/>
  <c r="AX31" i="130"/>
  <c r="AW31" i="130"/>
  <c r="AV31" i="130"/>
  <c r="AU31" i="130"/>
  <c r="AT31" i="130"/>
  <c r="AS31" i="130"/>
  <c r="AR31" i="130"/>
  <c r="AQ31" i="130"/>
  <c r="AP31" i="130"/>
  <c r="BG31" i="130" s="1"/>
  <c r="AO31" i="130"/>
  <c r="AN31" i="130"/>
  <c r="AM31" i="130"/>
  <c r="AL31" i="130"/>
  <c r="AK31" i="130"/>
  <c r="AJ31" i="130"/>
  <c r="AI31" i="130"/>
  <c r="AG31" i="130"/>
  <c r="AF31" i="130"/>
  <c r="AH31" i="130" s="1"/>
  <c r="AD31" i="130"/>
  <c r="AC31" i="130"/>
  <c r="AE31" i="130" s="1"/>
  <c r="AB31" i="130"/>
  <c r="AA31" i="130"/>
  <c r="Z31" i="130"/>
  <c r="Y31" i="130"/>
  <c r="X31" i="130"/>
  <c r="BO30" i="130"/>
  <c r="BN30" i="130"/>
  <c r="BP30" i="130" s="1"/>
  <c r="BL30" i="130"/>
  <c r="BK30" i="130"/>
  <c r="BM30" i="130" s="1"/>
  <c r="BJ30" i="130"/>
  <c r="BI30" i="130"/>
  <c r="BH30" i="130"/>
  <c r="BF30" i="130"/>
  <c r="BE30" i="130"/>
  <c r="BD30" i="130"/>
  <c r="BC30" i="130"/>
  <c r="BB30" i="130"/>
  <c r="BA30" i="130"/>
  <c r="AZ30" i="130"/>
  <c r="AY30" i="130"/>
  <c r="AX30" i="130"/>
  <c r="AW30" i="130"/>
  <c r="AV30" i="130"/>
  <c r="AU30" i="130"/>
  <c r="AT30" i="130"/>
  <c r="AS30" i="130"/>
  <c r="AR30" i="130"/>
  <c r="AQ30" i="130"/>
  <c r="AP30" i="130"/>
  <c r="BG30" i="130" s="1"/>
  <c r="AO30" i="130"/>
  <c r="AN30" i="130"/>
  <c r="AM30" i="130"/>
  <c r="AL30" i="130"/>
  <c r="AK30" i="130"/>
  <c r="AJ30" i="130"/>
  <c r="AI30" i="130"/>
  <c r="AG30" i="130"/>
  <c r="AF30" i="130"/>
  <c r="AH30" i="130" s="1"/>
  <c r="AD30" i="130"/>
  <c r="AC30" i="130"/>
  <c r="AE30" i="130" s="1"/>
  <c r="AB30" i="130"/>
  <c r="AA30" i="130"/>
  <c r="Z30" i="130"/>
  <c r="Y30" i="130"/>
  <c r="X30" i="130"/>
  <c r="BO29" i="130"/>
  <c r="BN29" i="130"/>
  <c r="BP29" i="130" s="1"/>
  <c r="BL29" i="130"/>
  <c r="BK29" i="130"/>
  <c r="BM29" i="130" s="1"/>
  <c r="BJ29" i="130"/>
  <c r="BI29" i="130"/>
  <c r="BH29" i="130"/>
  <c r="BF29" i="130"/>
  <c r="BE29" i="130"/>
  <c r="BD29" i="130"/>
  <c r="BC29" i="130"/>
  <c r="BB29" i="130"/>
  <c r="BA29" i="130"/>
  <c r="AZ29" i="130"/>
  <c r="AY29" i="130"/>
  <c r="AX29" i="130"/>
  <c r="AW29" i="130"/>
  <c r="AV29" i="130"/>
  <c r="AU29" i="130"/>
  <c r="AT29" i="130"/>
  <c r="AS29" i="130"/>
  <c r="AR29" i="130"/>
  <c r="AQ29" i="130"/>
  <c r="AP29" i="130"/>
  <c r="BG29" i="130" s="1"/>
  <c r="AO29" i="130"/>
  <c r="AN29" i="130"/>
  <c r="AM29" i="130"/>
  <c r="AL29" i="130"/>
  <c r="AK29" i="130"/>
  <c r="AJ29" i="130"/>
  <c r="AI29" i="130"/>
  <c r="AG29" i="130"/>
  <c r="AF29" i="130"/>
  <c r="AH29" i="130" s="1"/>
  <c r="AD29" i="130"/>
  <c r="AC29" i="130"/>
  <c r="AE29" i="130" s="1"/>
  <c r="AB29" i="130"/>
  <c r="AA29" i="130"/>
  <c r="Z29" i="130"/>
  <c r="Y29" i="130"/>
  <c r="X29" i="130"/>
  <c r="BO28" i="130"/>
  <c r="BN28" i="130"/>
  <c r="BP28" i="130" s="1"/>
  <c r="BL28" i="130"/>
  <c r="BK28" i="130"/>
  <c r="BM28" i="130" s="1"/>
  <c r="BJ28" i="130"/>
  <c r="BI28" i="130"/>
  <c r="BH28" i="130"/>
  <c r="BF28" i="130"/>
  <c r="BE28" i="130"/>
  <c r="BD28" i="130"/>
  <c r="BC28" i="130"/>
  <c r="BB28" i="130"/>
  <c r="BA28" i="130"/>
  <c r="AZ28" i="130"/>
  <c r="AY28" i="130"/>
  <c r="AX28" i="130"/>
  <c r="AW28" i="130"/>
  <c r="AV28" i="130"/>
  <c r="AU28" i="130"/>
  <c r="AT28" i="130"/>
  <c r="AS28" i="130"/>
  <c r="AR28" i="130"/>
  <c r="AQ28" i="130"/>
  <c r="AP28" i="130"/>
  <c r="BG28" i="130" s="1"/>
  <c r="AO28" i="130"/>
  <c r="AN28" i="130"/>
  <c r="AM28" i="130"/>
  <c r="AL28" i="130"/>
  <c r="AK28" i="130"/>
  <c r="AJ28" i="130"/>
  <c r="AI28" i="130"/>
  <c r="AG28" i="130"/>
  <c r="AF28" i="130"/>
  <c r="AH28" i="130" s="1"/>
  <c r="AD28" i="130"/>
  <c r="AC28" i="130"/>
  <c r="AE28" i="130" s="1"/>
  <c r="AB28" i="130"/>
  <c r="AA28" i="130"/>
  <c r="Z28" i="130"/>
  <c r="Y28" i="130"/>
  <c r="X28" i="130"/>
  <c r="BO27" i="130"/>
  <c r="BN27" i="130"/>
  <c r="BP27" i="130" s="1"/>
  <c r="BL27" i="130"/>
  <c r="BK27" i="130"/>
  <c r="BM27" i="130" s="1"/>
  <c r="BJ27" i="130"/>
  <c r="BI27" i="130"/>
  <c r="BH27" i="130"/>
  <c r="BF27" i="130"/>
  <c r="BE27" i="130"/>
  <c r="BD27" i="130"/>
  <c r="BC27" i="130"/>
  <c r="BB27" i="130"/>
  <c r="BA27" i="130"/>
  <c r="AZ27" i="130"/>
  <c r="AY27" i="130"/>
  <c r="AX27" i="130"/>
  <c r="AW27" i="130"/>
  <c r="AV27" i="130"/>
  <c r="AU27" i="130"/>
  <c r="AT27" i="130"/>
  <c r="AS27" i="130"/>
  <c r="AR27" i="130"/>
  <c r="AQ27" i="130"/>
  <c r="AP27" i="130"/>
  <c r="BG27" i="130" s="1"/>
  <c r="AO27" i="130"/>
  <c r="AN27" i="130"/>
  <c r="AM27" i="130"/>
  <c r="AL27" i="130"/>
  <c r="AK27" i="130"/>
  <c r="AJ27" i="130"/>
  <c r="AI27" i="130"/>
  <c r="AG27" i="130"/>
  <c r="AF27" i="130"/>
  <c r="AH27" i="130" s="1"/>
  <c r="AD27" i="130"/>
  <c r="AC27" i="130"/>
  <c r="AE27" i="130" s="1"/>
  <c r="AB27" i="130"/>
  <c r="AA27" i="130"/>
  <c r="Z27" i="130"/>
  <c r="Y27" i="130"/>
  <c r="X27" i="130"/>
  <c r="BO26" i="130"/>
  <c r="BN26" i="130"/>
  <c r="BP26" i="130" s="1"/>
  <c r="BL26" i="130"/>
  <c r="BK26" i="130"/>
  <c r="BM26" i="130" s="1"/>
  <c r="BJ26" i="130"/>
  <c r="BI26" i="130"/>
  <c r="BH26" i="130"/>
  <c r="BF26" i="130"/>
  <c r="BE26" i="130"/>
  <c r="BD26" i="130"/>
  <c r="BC26" i="130"/>
  <c r="BB26" i="130"/>
  <c r="BA26" i="130"/>
  <c r="AZ26" i="130"/>
  <c r="AY26" i="130"/>
  <c r="AX26" i="130"/>
  <c r="AW26" i="130"/>
  <c r="AV26" i="130"/>
  <c r="AU26" i="130"/>
  <c r="AT26" i="130"/>
  <c r="AS26" i="130"/>
  <c r="AR26" i="130"/>
  <c r="AQ26" i="130"/>
  <c r="AP26" i="130"/>
  <c r="BG26" i="130" s="1"/>
  <c r="AO26" i="130"/>
  <c r="AN26" i="130"/>
  <c r="AM26" i="130"/>
  <c r="AL26" i="130"/>
  <c r="AK26" i="130"/>
  <c r="AJ26" i="130"/>
  <c r="AI26" i="130"/>
  <c r="AG26" i="130"/>
  <c r="AF26" i="130"/>
  <c r="AH26" i="130" s="1"/>
  <c r="AD26" i="130"/>
  <c r="AC26" i="130"/>
  <c r="AE26" i="130" s="1"/>
  <c r="AB26" i="130"/>
  <c r="AA26" i="130"/>
  <c r="Z26" i="130"/>
  <c r="Y26" i="130"/>
  <c r="X26" i="130"/>
  <c r="BO25" i="130"/>
  <c r="BN25" i="130"/>
  <c r="BP25" i="130" s="1"/>
  <c r="BL25" i="130"/>
  <c r="BK25" i="130"/>
  <c r="BM25" i="130" s="1"/>
  <c r="BJ25" i="130"/>
  <c r="BI25" i="130"/>
  <c r="BH25" i="130"/>
  <c r="BF25" i="130"/>
  <c r="BE25" i="130"/>
  <c r="BD25" i="130"/>
  <c r="BC25" i="130"/>
  <c r="BB25" i="130"/>
  <c r="BA25" i="130"/>
  <c r="AZ25" i="130"/>
  <c r="AY25" i="130"/>
  <c r="AX25" i="130"/>
  <c r="AW25" i="130"/>
  <c r="AV25" i="130"/>
  <c r="AU25" i="130"/>
  <c r="AT25" i="130"/>
  <c r="AS25" i="130"/>
  <c r="AR25" i="130"/>
  <c r="AQ25" i="130"/>
  <c r="AP25" i="130"/>
  <c r="BG25" i="130" s="1"/>
  <c r="AO25" i="130"/>
  <c r="AN25" i="130"/>
  <c r="AM25" i="130"/>
  <c r="AL25" i="130"/>
  <c r="AK25" i="130"/>
  <c r="AJ25" i="130"/>
  <c r="AI25" i="130"/>
  <c r="AG25" i="130"/>
  <c r="AF25" i="130"/>
  <c r="AH25" i="130" s="1"/>
  <c r="AD25" i="130"/>
  <c r="AC25" i="130"/>
  <c r="AE25" i="130" s="1"/>
  <c r="AB25" i="130"/>
  <c r="AA25" i="130"/>
  <c r="Z25" i="130"/>
  <c r="Y25" i="130"/>
  <c r="X25" i="130"/>
  <c r="BO24" i="130"/>
  <c r="BN24" i="130"/>
  <c r="BP24" i="130" s="1"/>
  <c r="BL24" i="130"/>
  <c r="BK24" i="130"/>
  <c r="BM24" i="130" s="1"/>
  <c r="BJ24" i="130"/>
  <c r="BI24" i="130"/>
  <c r="BH24" i="130"/>
  <c r="BF24" i="130"/>
  <c r="BE24" i="130"/>
  <c r="BD24" i="130"/>
  <c r="BC24" i="130"/>
  <c r="BB24" i="130"/>
  <c r="BA24" i="130"/>
  <c r="AZ24" i="130"/>
  <c r="AY24" i="130"/>
  <c r="AX24" i="130"/>
  <c r="AW24" i="130"/>
  <c r="AV24" i="130"/>
  <c r="AU24" i="130"/>
  <c r="AT24" i="130"/>
  <c r="AS24" i="130"/>
  <c r="AR24" i="130"/>
  <c r="AQ24" i="130"/>
  <c r="AP24" i="130"/>
  <c r="BG24" i="130" s="1"/>
  <c r="AO24" i="130"/>
  <c r="AN24" i="130"/>
  <c r="AM24" i="130"/>
  <c r="AL24" i="130"/>
  <c r="AK24" i="130"/>
  <c r="AJ24" i="130"/>
  <c r="AI24" i="130"/>
  <c r="AG24" i="130"/>
  <c r="AF24" i="130"/>
  <c r="AH24" i="130" s="1"/>
  <c r="AD24" i="130"/>
  <c r="AC24" i="130"/>
  <c r="AE24" i="130" s="1"/>
  <c r="AB24" i="130"/>
  <c r="AA24" i="130"/>
  <c r="Z24" i="130"/>
  <c r="Y24" i="130"/>
  <c r="X24" i="130"/>
  <c r="BO23" i="130"/>
  <c r="BN23" i="130"/>
  <c r="BP23" i="130" s="1"/>
  <c r="BL23" i="130"/>
  <c r="BK23" i="130"/>
  <c r="BM23" i="130" s="1"/>
  <c r="BJ23" i="130"/>
  <c r="BI23" i="130"/>
  <c r="BH23" i="130"/>
  <c r="BF23" i="130"/>
  <c r="BE23" i="130"/>
  <c r="BD23" i="130"/>
  <c r="BC23" i="130"/>
  <c r="BB23" i="130"/>
  <c r="BA23" i="130"/>
  <c r="AZ23" i="130"/>
  <c r="AY23" i="130"/>
  <c r="AX23" i="130"/>
  <c r="AW23" i="130"/>
  <c r="AV23" i="130"/>
  <c r="AU23" i="130"/>
  <c r="AT23" i="130"/>
  <c r="AS23" i="130"/>
  <c r="AR23" i="130"/>
  <c r="AQ23" i="130"/>
  <c r="AP23" i="130"/>
  <c r="BG23" i="130" s="1"/>
  <c r="AO23" i="130"/>
  <c r="AN23" i="130"/>
  <c r="AM23" i="130"/>
  <c r="AL23" i="130"/>
  <c r="AK23" i="130"/>
  <c r="AJ23" i="130"/>
  <c r="AI23" i="130"/>
  <c r="AG23" i="130"/>
  <c r="AF23" i="130"/>
  <c r="AH23" i="130" s="1"/>
  <c r="AD23" i="130"/>
  <c r="AC23" i="130"/>
  <c r="AE23" i="130" s="1"/>
  <c r="AB23" i="130"/>
  <c r="AA23" i="130"/>
  <c r="Z23" i="130"/>
  <c r="Y23" i="130"/>
  <c r="X23" i="130"/>
  <c r="BO22" i="130"/>
  <c r="BN22" i="130"/>
  <c r="BP22" i="130" s="1"/>
  <c r="BL22" i="130"/>
  <c r="BK22" i="130"/>
  <c r="BM22" i="130" s="1"/>
  <c r="BJ22" i="130"/>
  <c r="BI22" i="130"/>
  <c r="BH22" i="130"/>
  <c r="BF22" i="130"/>
  <c r="BE22" i="130"/>
  <c r="BD22" i="130"/>
  <c r="BC22" i="130"/>
  <c r="BB22" i="130"/>
  <c r="BA22" i="130"/>
  <c r="AZ22" i="130"/>
  <c r="AY22" i="130"/>
  <c r="AX22" i="130"/>
  <c r="AW22" i="130"/>
  <c r="AV22" i="130"/>
  <c r="AU22" i="130"/>
  <c r="AT22" i="130"/>
  <c r="AS22" i="130"/>
  <c r="AR22" i="130"/>
  <c r="AQ22" i="130"/>
  <c r="AP22" i="130"/>
  <c r="BG22" i="130" s="1"/>
  <c r="AO22" i="130"/>
  <c r="AN22" i="130"/>
  <c r="AM22" i="130"/>
  <c r="AL22" i="130"/>
  <c r="AK22" i="130"/>
  <c r="AJ22" i="130"/>
  <c r="AI22" i="130"/>
  <c r="AG22" i="130"/>
  <c r="AF22" i="130"/>
  <c r="AH22" i="130" s="1"/>
  <c r="AD22" i="130"/>
  <c r="AC22" i="130"/>
  <c r="AE22" i="130" s="1"/>
  <c r="AB22" i="130"/>
  <c r="AA22" i="130"/>
  <c r="Z22" i="130"/>
  <c r="Y22" i="130"/>
  <c r="X22" i="130"/>
  <c r="BO21" i="130"/>
  <c r="BN21" i="130"/>
  <c r="BP21" i="130" s="1"/>
  <c r="BL21" i="130"/>
  <c r="BK21" i="130"/>
  <c r="BM21" i="130" s="1"/>
  <c r="BJ21" i="130"/>
  <c r="BI21" i="130"/>
  <c r="BH21" i="130"/>
  <c r="BF21" i="130"/>
  <c r="BE21" i="130"/>
  <c r="BD21" i="130"/>
  <c r="BC21" i="130"/>
  <c r="BB21" i="130"/>
  <c r="BA21" i="130"/>
  <c r="AZ21" i="130"/>
  <c r="AY21" i="130"/>
  <c r="AX21" i="130"/>
  <c r="AW21" i="130"/>
  <c r="AV21" i="130"/>
  <c r="AU21" i="130"/>
  <c r="AT21" i="130"/>
  <c r="AS21" i="130"/>
  <c r="AR21" i="130"/>
  <c r="AQ21" i="130"/>
  <c r="AP21" i="130"/>
  <c r="BG21" i="130" s="1"/>
  <c r="AO21" i="130"/>
  <c r="AN21" i="130"/>
  <c r="AM21" i="130"/>
  <c r="AL21" i="130"/>
  <c r="AK21" i="130"/>
  <c r="AJ21" i="130"/>
  <c r="AI21" i="130"/>
  <c r="AG21" i="130"/>
  <c r="AF21" i="130"/>
  <c r="AH21" i="130" s="1"/>
  <c r="AD21" i="130"/>
  <c r="AC21" i="130"/>
  <c r="AE21" i="130" s="1"/>
  <c r="AB21" i="130"/>
  <c r="AA21" i="130"/>
  <c r="Z21" i="130"/>
  <c r="Y21" i="130"/>
  <c r="X21" i="130"/>
  <c r="BO20" i="130"/>
  <c r="BN20" i="130"/>
  <c r="BP20" i="130" s="1"/>
  <c r="BL20" i="130"/>
  <c r="BK20" i="130"/>
  <c r="BM20" i="130" s="1"/>
  <c r="BJ20" i="130"/>
  <c r="BI20" i="130"/>
  <c r="BH20" i="130"/>
  <c r="BF20" i="130"/>
  <c r="BE20" i="130"/>
  <c r="BD20" i="130"/>
  <c r="BC20" i="130"/>
  <c r="BB20" i="130"/>
  <c r="BA20" i="130"/>
  <c r="AZ20" i="130"/>
  <c r="AY20" i="130"/>
  <c r="AX20" i="130"/>
  <c r="AW20" i="130"/>
  <c r="AV20" i="130"/>
  <c r="AU20" i="130"/>
  <c r="AT20" i="130"/>
  <c r="AS20" i="130"/>
  <c r="AR20" i="130"/>
  <c r="AQ20" i="130"/>
  <c r="AP20" i="130"/>
  <c r="BG20" i="130" s="1"/>
  <c r="AO20" i="130"/>
  <c r="AN20" i="130"/>
  <c r="AM20" i="130"/>
  <c r="AL20" i="130"/>
  <c r="AK20" i="130"/>
  <c r="AJ20" i="130"/>
  <c r="AI20" i="130"/>
  <c r="AG20" i="130"/>
  <c r="AF20" i="130"/>
  <c r="AH20" i="130" s="1"/>
  <c r="AD20" i="130"/>
  <c r="AC20" i="130"/>
  <c r="AE20" i="130" s="1"/>
  <c r="AB20" i="130"/>
  <c r="AA20" i="130"/>
  <c r="Z20" i="130"/>
  <c r="Y20" i="130"/>
  <c r="X20" i="130"/>
  <c r="BO18" i="130"/>
  <c r="BN18" i="130"/>
  <c r="BP18" i="130" s="1"/>
  <c r="BL18" i="130"/>
  <c r="BK18" i="130"/>
  <c r="BM18" i="130" s="1"/>
  <c r="BJ18" i="130"/>
  <c r="BI18" i="130"/>
  <c r="BH18" i="130"/>
  <c r="BF18" i="130"/>
  <c r="BE18" i="130"/>
  <c r="BD18" i="130"/>
  <c r="BC18" i="130"/>
  <c r="BB18" i="130"/>
  <c r="BA18" i="130"/>
  <c r="AZ18" i="130"/>
  <c r="AY18" i="130"/>
  <c r="AX18" i="130"/>
  <c r="AW18" i="130"/>
  <c r="AV18" i="130"/>
  <c r="AU18" i="130"/>
  <c r="AT18" i="130"/>
  <c r="AS18" i="130"/>
  <c r="AR18" i="130"/>
  <c r="AQ18" i="130"/>
  <c r="AP18" i="130"/>
  <c r="BG18" i="130" s="1"/>
  <c r="AO18" i="130"/>
  <c r="AN18" i="130"/>
  <c r="AM18" i="130"/>
  <c r="AL18" i="130"/>
  <c r="AK18" i="130"/>
  <c r="AJ18" i="130"/>
  <c r="AI18" i="130"/>
  <c r="AG18" i="130"/>
  <c r="AF18" i="130"/>
  <c r="AH18" i="130" s="1"/>
  <c r="AD18" i="130"/>
  <c r="AC18" i="130"/>
  <c r="AE18" i="130" s="1"/>
  <c r="AB18" i="130"/>
  <c r="AA18" i="130"/>
  <c r="Z18" i="130"/>
  <c r="Y18" i="130"/>
  <c r="X18" i="130"/>
  <c r="F18" i="130"/>
  <c r="E18" i="130"/>
  <c r="C18" i="130"/>
  <c r="BO17" i="130"/>
  <c r="BN17" i="130"/>
  <c r="BP17" i="130" s="1"/>
  <c r="BL17" i="130"/>
  <c r="BK17" i="130"/>
  <c r="BM17" i="130" s="1"/>
  <c r="BJ17" i="130"/>
  <c r="BI17" i="130"/>
  <c r="BH17" i="130"/>
  <c r="BF17" i="130"/>
  <c r="BE17" i="130"/>
  <c r="BD17" i="130"/>
  <c r="BC17" i="130"/>
  <c r="BB17" i="130"/>
  <c r="BA17" i="130"/>
  <c r="AZ17" i="130"/>
  <c r="AY17" i="130"/>
  <c r="AX17" i="130"/>
  <c r="AW17" i="130"/>
  <c r="AV17" i="130"/>
  <c r="AU17" i="130"/>
  <c r="AT17" i="130"/>
  <c r="AS17" i="130"/>
  <c r="AR17" i="130"/>
  <c r="AQ17" i="130"/>
  <c r="AP17" i="130"/>
  <c r="BG17" i="130" s="1"/>
  <c r="AO17" i="130"/>
  <c r="AN17" i="130"/>
  <c r="AM17" i="130"/>
  <c r="AL17" i="130"/>
  <c r="AK17" i="130"/>
  <c r="AJ17" i="130"/>
  <c r="AI17" i="130"/>
  <c r="AG17" i="130"/>
  <c r="AF17" i="130"/>
  <c r="AH17" i="130" s="1"/>
  <c r="AD17" i="130"/>
  <c r="AC17" i="130"/>
  <c r="AE17" i="130" s="1"/>
  <c r="AA17" i="130"/>
  <c r="AB17" i="130" s="1"/>
  <c r="Z17" i="130"/>
  <c r="Y17" i="130"/>
  <c r="X17" i="130"/>
  <c r="F17" i="130"/>
  <c r="E17" i="130"/>
  <c r="C17" i="130"/>
  <c r="BO16" i="130"/>
  <c r="BN16" i="130"/>
  <c r="BP16" i="130" s="1"/>
  <c r="BL16" i="130"/>
  <c r="BK16" i="130"/>
  <c r="BM16" i="130" s="1"/>
  <c r="BJ16" i="130"/>
  <c r="BI16" i="130"/>
  <c r="BH16" i="130"/>
  <c r="BF16" i="130"/>
  <c r="BE16" i="130"/>
  <c r="BD16" i="130"/>
  <c r="BC16" i="130"/>
  <c r="BB16" i="130"/>
  <c r="BA16" i="130"/>
  <c r="AZ16" i="130"/>
  <c r="AY16" i="130"/>
  <c r="AX16" i="130"/>
  <c r="AW16" i="130"/>
  <c r="AV16" i="130"/>
  <c r="AU16" i="130"/>
  <c r="AT16" i="130"/>
  <c r="AS16" i="130"/>
  <c r="AR16" i="130"/>
  <c r="AQ16" i="130"/>
  <c r="AP16" i="130"/>
  <c r="BG16" i="130" s="1"/>
  <c r="AO16" i="130"/>
  <c r="AN16" i="130"/>
  <c r="AM16" i="130"/>
  <c r="AL16" i="130"/>
  <c r="AK16" i="130"/>
  <c r="AJ16" i="130"/>
  <c r="AI16" i="130"/>
  <c r="AG16" i="130"/>
  <c r="AF16" i="130"/>
  <c r="AH16" i="130" s="1"/>
  <c r="AD16" i="130"/>
  <c r="AC16" i="130"/>
  <c r="AE16" i="130" s="1"/>
  <c r="AB16" i="130"/>
  <c r="AA16" i="130"/>
  <c r="Z16" i="130"/>
  <c r="Y16" i="130"/>
  <c r="X16" i="130"/>
  <c r="F16" i="130"/>
  <c r="E16" i="130"/>
  <c r="C16" i="130"/>
  <c r="BO15" i="130"/>
  <c r="BN15" i="130"/>
  <c r="BP15" i="130" s="1"/>
  <c r="BL15" i="130"/>
  <c r="BK15" i="130"/>
  <c r="BM15" i="130" s="1"/>
  <c r="BJ15" i="130"/>
  <c r="BI15" i="130"/>
  <c r="BH15" i="130"/>
  <c r="BF15" i="130"/>
  <c r="BE15" i="130"/>
  <c r="BD15" i="130"/>
  <c r="BC15" i="130"/>
  <c r="BB15" i="130"/>
  <c r="BA15" i="130"/>
  <c r="AZ15" i="130"/>
  <c r="AY15" i="130"/>
  <c r="AX15" i="130"/>
  <c r="AW15" i="130"/>
  <c r="AV15" i="130"/>
  <c r="AU15" i="130"/>
  <c r="AT15" i="130"/>
  <c r="AS15" i="130"/>
  <c r="AR15" i="130"/>
  <c r="AQ15" i="130"/>
  <c r="AP15" i="130"/>
  <c r="BG15" i="130" s="1"/>
  <c r="AO15" i="130"/>
  <c r="AN15" i="130"/>
  <c r="AM15" i="130"/>
  <c r="AL15" i="130"/>
  <c r="AK15" i="130"/>
  <c r="AJ15" i="130"/>
  <c r="AI15" i="130"/>
  <c r="AG15" i="130"/>
  <c r="AF15" i="130"/>
  <c r="AH15" i="130" s="1"/>
  <c r="AD15" i="130"/>
  <c r="AC15" i="130"/>
  <c r="AE15" i="130" s="1"/>
  <c r="AB15" i="130"/>
  <c r="AA15" i="130"/>
  <c r="Z15" i="130"/>
  <c r="Y15" i="130"/>
  <c r="X15" i="130"/>
  <c r="F15" i="130"/>
  <c r="E15" i="130"/>
  <c r="C15" i="130"/>
  <c r="BO14" i="130"/>
  <c r="BN14" i="130"/>
  <c r="BP14" i="130" s="1"/>
  <c r="BL14" i="130"/>
  <c r="BK14" i="130"/>
  <c r="BM14" i="130" s="1"/>
  <c r="BJ14" i="130"/>
  <c r="BI14" i="130"/>
  <c r="BH14" i="130"/>
  <c r="BF14" i="130"/>
  <c r="BE14" i="130"/>
  <c r="BD14" i="130"/>
  <c r="BC14" i="130"/>
  <c r="BB14" i="130"/>
  <c r="BA14" i="130"/>
  <c r="AZ14" i="130"/>
  <c r="AY14" i="130"/>
  <c r="AX14" i="130"/>
  <c r="AW14" i="130"/>
  <c r="AV14" i="130"/>
  <c r="AU14" i="130"/>
  <c r="AT14" i="130"/>
  <c r="AS14" i="130"/>
  <c r="AR14" i="130"/>
  <c r="AQ14" i="130"/>
  <c r="AP14" i="130"/>
  <c r="BG14" i="130" s="1"/>
  <c r="AO14" i="130"/>
  <c r="AN14" i="130"/>
  <c r="AM14" i="130"/>
  <c r="AL14" i="130"/>
  <c r="AK14" i="130"/>
  <c r="AJ14" i="130"/>
  <c r="AI14" i="130"/>
  <c r="AG14" i="130"/>
  <c r="AF14" i="130"/>
  <c r="AH14" i="130" s="1"/>
  <c r="AD14" i="130"/>
  <c r="AC14" i="130"/>
  <c r="AE14" i="130" s="1"/>
  <c r="AB14" i="130"/>
  <c r="AA14" i="130"/>
  <c r="Z14" i="130"/>
  <c r="Y14" i="130"/>
  <c r="X14" i="130"/>
  <c r="F14" i="130"/>
  <c r="E14" i="130"/>
  <c r="C14" i="130"/>
  <c r="BO13" i="130"/>
  <c r="BN13" i="130"/>
  <c r="BP13" i="130" s="1"/>
  <c r="BL13" i="130"/>
  <c r="BK13" i="130"/>
  <c r="BM13" i="130" s="1"/>
  <c r="BJ13" i="130"/>
  <c r="BI13" i="130"/>
  <c r="BH13" i="130"/>
  <c r="BF13" i="130"/>
  <c r="BE13" i="130"/>
  <c r="BD13" i="130"/>
  <c r="BC13" i="130"/>
  <c r="BB13" i="130"/>
  <c r="BA13" i="130"/>
  <c r="AZ13" i="130"/>
  <c r="AY13" i="130"/>
  <c r="AX13" i="130"/>
  <c r="AW13" i="130"/>
  <c r="AV13" i="130"/>
  <c r="AU13" i="130"/>
  <c r="AT13" i="130"/>
  <c r="AS13" i="130"/>
  <c r="AR13" i="130"/>
  <c r="AQ13" i="130"/>
  <c r="AP13" i="130"/>
  <c r="BG13" i="130" s="1"/>
  <c r="AO13" i="130"/>
  <c r="AN13" i="130"/>
  <c r="AM13" i="130"/>
  <c r="AL13" i="130"/>
  <c r="AK13" i="130"/>
  <c r="AJ13" i="130"/>
  <c r="AI13" i="130"/>
  <c r="AG13" i="130"/>
  <c r="AF13" i="130"/>
  <c r="AH13" i="130" s="1"/>
  <c r="AD13" i="130"/>
  <c r="AC13" i="130"/>
  <c r="AE13" i="130" s="1"/>
  <c r="AA13" i="130"/>
  <c r="AB13" i="130" s="1"/>
  <c r="Z13" i="130"/>
  <c r="Y13" i="130"/>
  <c r="X13" i="130"/>
  <c r="F13" i="130"/>
  <c r="E13" i="130"/>
  <c r="C13" i="130"/>
  <c r="BO12" i="130"/>
  <c r="BN12" i="130"/>
  <c r="BP12" i="130" s="1"/>
  <c r="BL12" i="130"/>
  <c r="BK12" i="130"/>
  <c r="BM12" i="130" s="1"/>
  <c r="BJ12" i="130"/>
  <c r="BI12" i="130"/>
  <c r="BH12" i="130"/>
  <c r="BF12" i="130"/>
  <c r="BE12" i="130"/>
  <c r="BD12" i="130"/>
  <c r="BC12" i="130"/>
  <c r="BB12" i="130"/>
  <c r="BA12" i="130"/>
  <c r="AZ12" i="130"/>
  <c r="AY12" i="130"/>
  <c r="AX12" i="130"/>
  <c r="AW12" i="130"/>
  <c r="AV12" i="130"/>
  <c r="AU12" i="130"/>
  <c r="AT12" i="130"/>
  <c r="AS12" i="130"/>
  <c r="AR12" i="130"/>
  <c r="AQ12" i="130"/>
  <c r="AP12" i="130"/>
  <c r="BG12" i="130" s="1"/>
  <c r="AO12" i="130"/>
  <c r="AN12" i="130"/>
  <c r="AM12" i="130"/>
  <c r="AL12" i="130"/>
  <c r="AK12" i="130"/>
  <c r="AJ12" i="130"/>
  <c r="AI12" i="130"/>
  <c r="AG12" i="130"/>
  <c r="AF12" i="130"/>
  <c r="AH12" i="130" s="1"/>
  <c r="AD12" i="130"/>
  <c r="AC12" i="130"/>
  <c r="AE12" i="130" s="1"/>
  <c r="AB12" i="130"/>
  <c r="AA12" i="130"/>
  <c r="Z12" i="130"/>
  <c r="Y12" i="130"/>
  <c r="X12" i="130"/>
  <c r="F12" i="130"/>
  <c r="E12" i="130"/>
  <c r="C12" i="130"/>
  <c r="BO11" i="130"/>
  <c r="BN11" i="130"/>
  <c r="BP11" i="130" s="1"/>
  <c r="BL11" i="130"/>
  <c r="BK11" i="130"/>
  <c r="BM11" i="130" s="1"/>
  <c r="BJ11" i="130"/>
  <c r="BI11" i="130"/>
  <c r="BH11" i="130"/>
  <c r="BF11" i="130"/>
  <c r="BE11" i="130"/>
  <c r="BD11" i="130"/>
  <c r="BC11" i="130"/>
  <c r="BB11" i="130"/>
  <c r="BA11" i="130"/>
  <c r="AZ11" i="130"/>
  <c r="AY11" i="130"/>
  <c r="AX11" i="130"/>
  <c r="AW11" i="130"/>
  <c r="AV11" i="130"/>
  <c r="AU11" i="130"/>
  <c r="AT11" i="130"/>
  <c r="AS11" i="130"/>
  <c r="AR11" i="130"/>
  <c r="AQ11" i="130"/>
  <c r="AP11" i="130"/>
  <c r="BG11" i="130" s="1"/>
  <c r="AO11" i="130"/>
  <c r="AN11" i="130"/>
  <c r="AM11" i="130"/>
  <c r="AL11" i="130"/>
  <c r="AK11" i="130"/>
  <c r="AJ11" i="130"/>
  <c r="AI11" i="130"/>
  <c r="AG11" i="130"/>
  <c r="AF11" i="130"/>
  <c r="AH11" i="130" s="1"/>
  <c r="AD11" i="130"/>
  <c r="AC11" i="130"/>
  <c r="AE11" i="130" s="1"/>
  <c r="AB11" i="130"/>
  <c r="AA11" i="130"/>
  <c r="Z11" i="130"/>
  <c r="Y11" i="130"/>
  <c r="X11" i="130"/>
  <c r="K11" i="130"/>
  <c r="F11" i="130" s="1"/>
  <c r="E11" i="130"/>
  <c r="C11" i="130"/>
  <c r="BO10" i="130"/>
  <c r="BN10" i="130"/>
  <c r="BP10" i="130" s="1"/>
  <c r="BL10" i="130"/>
  <c r="BK10" i="130"/>
  <c r="BM10" i="130" s="1"/>
  <c r="BJ10" i="130"/>
  <c r="BI10" i="130"/>
  <c r="BH10" i="130"/>
  <c r="BF10" i="130"/>
  <c r="BE10" i="130"/>
  <c r="BD10" i="130"/>
  <c r="BC10" i="130"/>
  <c r="BB10" i="130"/>
  <c r="BA10" i="130"/>
  <c r="AZ10" i="130"/>
  <c r="AY10" i="130"/>
  <c r="AX10" i="130"/>
  <c r="AW10" i="130"/>
  <c r="AV10" i="130"/>
  <c r="AU10" i="130"/>
  <c r="AT10" i="130"/>
  <c r="AS10" i="130"/>
  <c r="AR10" i="130"/>
  <c r="AQ10" i="130"/>
  <c r="AP10" i="130"/>
  <c r="BG10" i="130" s="1"/>
  <c r="AO10" i="130"/>
  <c r="AN10" i="130"/>
  <c r="AM10" i="130"/>
  <c r="AL10" i="130"/>
  <c r="AK10" i="130"/>
  <c r="AJ10" i="130"/>
  <c r="AI10" i="130"/>
  <c r="AG10" i="130"/>
  <c r="AF10" i="130"/>
  <c r="AH10" i="130" s="1"/>
  <c r="AD10" i="130"/>
  <c r="AC10" i="130"/>
  <c r="AE10" i="130" s="1"/>
  <c r="AB10" i="130"/>
  <c r="AA10" i="130"/>
  <c r="Z10" i="130"/>
  <c r="Y10" i="130"/>
  <c r="X10" i="130"/>
  <c r="F10" i="130"/>
  <c r="E10" i="130"/>
  <c r="C10" i="130"/>
  <c r="BO9" i="130"/>
  <c r="BN9" i="130"/>
  <c r="BP9" i="130" s="1"/>
  <c r="BL9" i="130"/>
  <c r="BK9" i="130"/>
  <c r="BM9" i="130" s="1"/>
  <c r="BJ9" i="130"/>
  <c r="BI9" i="130"/>
  <c r="BH9" i="130"/>
  <c r="BF9" i="130"/>
  <c r="BE9" i="130"/>
  <c r="BD9" i="130"/>
  <c r="BC9" i="130"/>
  <c r="BB9" i="130"/>
  <c r="BA9" i="130"/>
  <c r="AZ9" i="130"/>
  <c r="AY9" i="130"/>
  <c r="AX9" i="130"/>
  <c r="AW9" i="130"/>
  <c r="AV9" i="130"/>
  <c r="AU9" i="130"/>
  <c r="AT9" i="130"/>
  <c r="AS9" i="130"/>
  <c r="AR9" i="130"/>
  <c r="AQ9" i="130"/>
  <c r="AP9" i="130"/>
  <c r="BG9" i="130" s="1"/>
  <c r="AO9" i="130"/>
  <c r="AN9" i="130"/>
  <c r="AM9" i="130"/>
  <c r="AL9" i="130"/>
  <c r="AK9" i="130"/>
  <c r="AJ9" i="130"/>
  <c r="AI9" i="130"/>
  <c r="AG9" i="130"/>
  <c r="AF9" i="130"/>
  <c r="AH9" i="130" s="1"/>
  <c r="AD9" i="130"/>
  <c r="AC9" i="130"/>
  <c r="AE9" i="130" s="1"/>
  <c r="AB9" i="130"/>
  <c r="AA9" i="130"/>
  <c r="Z9" i="130"/>
  <c r="Y9" i="130"/>
  <c r="X9" i="130"/>
  <c r="F9" i="130"/>
  <c r="E9" i="130"/>
  <c r="C9" i="130"/>
  <c r="BO8" i="130"/>
  <c r="BN8" i="130"/>
  <c r="BP8" i="130" s="1"/>
  <c r="BL8" i="130"/>
  <c r="BK8" i="130"/>
  <c r="BM8" i="130" s="1"/>
  <c r="BJ8" i="130"/>
  <c r="BI8" i="130"/>
  <c r="BH8" i="130"/>
  <c r="BF8" i="130"/>
  <c r="BE8" i="130"/>
  <c r="BD8" i="130"/>
  <c r="BC8" i="130"/>
  <c r="BB8" i="130"/>
  <c r="BA8" i="130"/>
  <c r="AZ8" i="130"/>
  <c r="AY8" i="130"/>
  <c r="AX8" i="130"/>
  <c r="AW8" i="130"/>
  <c r="AV8" i="130"/>
  <c r="AU8" i="130"/>
  <c r="AT8" i="130"/>
  <c r="AS8" i="130"/>
  <c r="AR8" i="130"/>
  <c r="AQ8" i="130"/>
  <c r="AP8" i="130"/>
  <c r="BG8" i="130" s="1"/>
  <c r="AO8" i="130"/>
  <c r="AN8" i="130"/>
  <c r="AM8" i="130"/>
  <c r="AL8" i="130"/>
  <c r="AK8" i="130"/>
  <c r="AJ8" i="130"/>
  <c r="AI8" i="130"/>
  <c r="AG8" i="130"/>
  <c r="AF8" i="130"/>
  <c r="AH8" i="130" s="1"/>
  <c r="AD8" i="130"/>
  <c r="AC8" i="130"/>
  <c r="AE8" i="130" s="1"/>
  <c r="AB8" i="130"/>
  <c r="AA8" i="130"/>
  <c r="Z8" i="130"/>
  <c r="Y8" i="130"/>
  <c r="X8" i="130"/>
  <c r="F8" i="130"/>
  <c r="E8" i="130"/>
  <c r="C8" i="130"/>
  <c r="BO7" i="130"/>
  <c r="BN7" i="130"/>
  <c r="BP7" i="130" s="1"/>
  <c r="BL7" i="130"/>
  <c r="BK7" i="130"/>
  <c r="BM7" i="130" s="1"/>
  <c r="BJ7" i="130"/>
  <c r="BI7" i="130"/>
  <c r="BH7" i="130"/>
  <c r="BF7" i="130"/>
  <c r="BE7" i="130"/>
  <c r="BD7" i="130"/>
  <c r="BC7" i="130"/>
  <c r="BB7" i="130"/>
  <c r="BA7" i="130"/>
  <c r="AZ7" i="130"/>
  <c r="AY7" i="130"/>
  <c r="AX7" i="130"/>
  <c r="AW7" i="130"/>
  <c r="AV7" i="130"/>
  <c r="AU7" i="130"/>
  <c r="AT7" i="130"/>
  <c r="AS7" i="130"/>
  <c r="AR7" i="130"/>
  <c r="AQ7" i="130"/>
  <c r="AP7" i="130"/>
  <c r="BG7" i="130" s="1"/>
  <c r="AO7" i="130"/>
  <c r="AN7" i="130"/>
  <c r="AM7" i="130"/>
  <c r="AL7" i="130"/>
  <c r="AK7" i="130"/>
  <c r="AJ7" i="130"/>
  <c r="AI7" i="130"/>
  <c r="AG7" i="130"/>
  <c r="AF7" i="130"/>
  <c r="AH7" i="130" s="1"/>
  <c r="AD7" i="130"/>
  <c r="AC7" i="130"/>
  <c r="AE7" i="130" s="1"/>
  <c r="AB7" i="130"/>
  <c r="AA7" i="130"/>
  <c r="Z7" i="130"/>
  <c r="Y7" i="130"/>
  <c r="X7" i="130"/>
  <c r="F7" i="130"/>
  <c r="E7" i="130"/>
  <c r="C7" i="130"/>
  <c r="BO6" i="130"/>
  <c r="BN6" i="130"/>
  <c r="BP6" i="130" s="1"/>
  <c r="BL6" i="130"/>
  <c r="BK6" i="130"/>
  <c r="BM6" i="130" s="1"/>
  <c r="BJ6" i="130"/>
  <c r="BI6" i="130"/>
  <c r="BH6" i="130"/>
  <c r="BF6" i="130"/>
  <c r="BE6" i="130"/>
  <c r="BD6" i="130"/>
  <c r="BC6" i="130"/>
  <c r="BB6" i="130"/>
  <c r="BA6" i="130"/>
  <c r="AZ6" i="130"/>
  <c r="AY6" i="130"/>
  <c r="AX6" i="130"/>
  <c r="AW6" i="130"/>
  <c r="AV6" i="130"/>
  <c r="AU6" i="130"/>
  <c r="AT6" i="130"/>
  <c r="AS6" i="130"/>
  <c r="AR6" i="130"/>
  <c r="AQ6" i="130"/>
  <c r="AP6" i="130"/>
  <c r="BG6" i="130" s="1"/>
  <c r="AO6" i="130"/>
  <c r="AN6" i="130"/>
  <c r="AM6" i="130"/>
  <c r="AL6" i="130"/>
  <c r="AK6" i="130"/>
  <c r="AJ6" i="130"/>
  <c r="AI6" i="130"/>
  <c r="AG6" i="130"/>
  <c r="AF6" i="130"/>
  <c r="AH6" i="130" s="1"/>
  <c r="AD6" i="130"/>
  <c r="AC6" i="130"/>
  <c r="AE6" i="130" s="1"/>
  <c r="AB6" i="130"/>
  <c r="AA6" i="130"/>
  <c r="Z6" i="130"/>
  <c r="Y6" i="130"/>
  <c r="X6" i="130"/>
  <c r="F6" i="130"/>
  <c r="E6" i="130"/>
  <c r="C6" i="130"/>
  <c r="BO5" i="130"/>
  <c r="BN5" i="130"/>
  <c r="BP5" i="130" s="1"/>
  <c r="BL5" i="130"/>
  <c r="BK5" i="130"/>
  <c r="BM5" i="130" s="1"/>
  <c r="BJ5" i="130"/>
  <c r="BI5" i="130"/>
  <c r="BH5" i="130"/>
  <c r="BF5" i="130"/>
  <c r="BE5" i="130"/>
  <c r="BD5" i="130"/>
  <c r="BC5" i="130"/>
  <c r="BB5" i="130"/>
  <c r="BA5" i="130"/>
  <c r="AZ5" i="130"/>
  <c r="AY5" i="130"/>
  <c r="AX5" i="130"/>
  <c r="AW5" i="130"/>
  <c r="AV5" i="130"/>
  <c r="AU5" i="130"/>
  <c r="AT5" i="130"/>
  <c r="AS5" i="130"/>
  <c r="AR5" i="130"/>
  <c r="AQ5" i="130"/>
  <c r="AP5" i="130"/>
  <c r="BG5" i="130" s="1"/>
  <c r="AO5" i="130"/>
  <c r="AN5" i="130"/>
  <c r="AM5" i="130"/>
  <c r="AL5" i="130"/>
  <c r="AK5" i="130"/>
  <c r="AJ5" i="130"/>
  <c r="AI5" i="130"/>
  <c r="AG5" i="130"/>
  <c r="AF5" i="130"/>
  <c r="AH5" i="130" s="1"/>
  <c r="AD5" i="130"/>
  <c r="AC5" i="130"/>
  <c r="AE5" i="130" s="1"/>
  <c r="AA5" i="130"/>
  <c r="AB5" i="130" s="1"/>
  <c r="Z5" i="130"/>
  <c r="Y5" i="130"/>
  <c r="X5" i="130"/>
  <c r="F5" i="130"/>
  <c r="E5" i="130"/>
  <c r="C5" i="130"/>
  <c r="BO4" i="130"/>
  <c r="BN4" i="130"/>
  <c r="BP4" i="130" s="1"/>
  <c r="BL4" i="130"/>
  <c r="BK4" i="130"/>
  <c r="BM4" i="130" s="1"/>
  <c r="BJ4" i="130"/>
  <c r="BI4" i="130"/>
  <c r="BH4" i="130"/>
  <c r="BF4" i="130"/>
  <c r="BE4" i="130"/>
  <c r="BD4" i="130"/>
  <c r="BC4" i="130"/>
  <c r="BB4" i="130"/>
  <c r="BA4" i="130"/>
  <c r="AZ4" i="130"/>
  <c r="AY4" i="130"/>
  <c r="AX4" i="130"/>
  <c r="AW4" i="130"/>
  <c r="AV4" i="130"/>
  <c r="AU4" i="130"/>
  <c r="AT4" i="130"/>
  <c r="AS4" i="130"/>
  <c r="AR4" i="130"/>
  <c r="AQ4" i="130"/>
  <c r="AP4" i="130"/>
  <c r="BG4" i="130" s="1"/>
  <c r="AO4" i="130"/>
  <c r="AN4" i="130"/>
  <c r="AM4" i="130"/>
  <c r="AL4" i="130"/>
  <c r="AK4" i="130"/>
  <c r="AJ4" i="130"/>
  <c r="AI4" i="130"/>
  <c r="AG4" i="130"/>
  <c r="AF4" i="130"/>
  <c r="AH4" i="130" s="1"/>
  <c r="AD4" i="130"/>
  <c r="AC4" i="130"/>
  <c r="AE4" i="130" s="1"/>
  <c r="AB4" i="130"/>
  <c r="AA4" i="130"/>
  <c r="Z4" i="130"/>
  <c r="Y4" i="130"/>
  <c r="X4" i="130"/>
  <c r="F4" i="130"/>
  <c r="E4" i="130"/>
  <c r="C4" i="130"/>
  <c r="BO3" i="130"/>
  <c r="BN3" i="130"/>
  <c r="BP3" i="130" s="1"/>
  <c r="BL3" i="130"/>
  <c r="BK3" i="130"/>
  <c r="BM3" i="130" s="1"/>
  <c r="BJ3" i="130"/>
  <c r="BI3" i="130"/>
  <c r="BH3" i="130"/>
  <c r="BF3" i="130"/>
  <c r="BE3" i="130"/>
  <c r="BD3" i="130"/>
  <c r="BC3" i="130"/>
  <c r="BB3" i="130"/>
  <c r="BA3" i="130"/>
  <c r="AZ3" i="130"/>
  <c r="AY3" i="130"/>
  <c r="AX3" i="130"/>
  <c r="AW3" i="130"/>
  <c r="AV3" i="130"/>
  <c r="AU3" i="130"/>
  <c r="AT3" i="130"/>
  <c r="AS3" i="130"/>
  <c r="AR3" i="130"/>
  <c r="AQ3" i="130"/>
  <c r="AP3" i="130"/>
  <c r="BG3" i="130" s="1"/>
  <c r="AO3" i="130"/>
  <c r="AN3" i="130"/>
  <c r="AM3" i="130"/>
  <c r="AL3" i="130"/>
  <c r="AK3" i="130"/>
  <c r="AJ3" i="130"/>
  <c r="AI3" i="130"/>
  <c r="AG3" i="130"/>
  <c r="AF3" i="130"/>
  <c r="AH3" i="130" s="1"/>
  <c r="AD3" i="130"/>
  <c r="AC3" i="130"/>
  <c r="AE3" i="130" s="1"/>
  <c r="AB3" i="130"/>
  <c r="AA3" i="130"/>
  <c r="Z3" i="130"/>
  <c r="Y3" i="130"/>
  <c r="X3" i="130"/>
  <c r="F3" i="130"/>
  <c r="E3" i="130"/>
  <c r="C3" i="130"/>
  <c r="A1" i="130"/>
  <c r="BJ15" i="138" l="1"/>
  <c r="BI32" i="138"/>
  <c r="BI28" i="138"/>
  <c r="BJ14" i="138"/>
  <c r="BI31" i="138"/>
  <c r="BI27" i="138"/>
  <c r="BH42" i="138"/>
  <c r="BH43" i="138" s="1"/>
  <c r="BK34" i="138"/>
  <c r="BK30" i="138"/>
  <c r="BK33" i="138"/>
  <c r="BK29" i="138"/>
  <c r="BL7" i="138"/>
  <c r="BL9" i="138"/>
  <c r="BL8" i="138"/>
  <c r="BL6" i="138"/>
  <c r="BJ41" i="138"/>
  <c r="AU30" i="138"/>
  <c r="AU34" i="138"/>
  <c r="AU27" i="138"/>
  <c r="AU31" i="138"/>
  <c r="AT42" i="138"/>
  <c r="AV8" i="138"/>
  <c r="AV6" i="138"/>
  <c r="AV7" i="138"/>
  <c r="AV9" i="138"/>
  <c r="AU33" i="138"/>
  <c r="AU29" i="138"/>
  <c r="AU28" i="138"/>
  <c r="AU32" i="138"/>
  <c r="AS44" i="138"/>
  <c r="AT41" i="138"/>
  <c r="M13" i="134"/>
  <c r="J23" i="134"/>
  <c r="BK15" i="138" l="1"/>
  <c r="BJ23" i="138"/>
  <c r="BJ28" i="138"/>
  <c r="BJ32" i="138"/>
  <c r="BI42" i="138"/>
  <c r="BI43" i="138" s="1"/>
  <c r="BK14" i="138"/>
  <c r="BJ31" i="138"/>
  <c r="BJ22" i="138"/>
  <c r="BJ27" i="138"/>
  <c r="BL18" i="138"/>
  <c r="BM6" i="138"/>
  <c r="BM7" i="138"/>
  <c r="BM9" i="138"/>
  <c r="BM8" i="138"/>
  <c r="AT43" i="138"/>
  <c r="AT44" i="138" s="1"/>
  <c r="BL21" i="138"/>
  <c r="BL34" i="138"/>
  <c r="BL30" i="138"/>
  <c r="BL25" i="138"/>
  <c r="BL19" i="138"/>
  <c r="BL20" i="138"/>
  <c r="BL33" i="138"/>
  <c r="BL29" i="138"/>
  <c r="BL24" i="138"/>
  <c r="AV21" i="138"/>
  <c r="AV25" i="138"/>
  <c r="AV34" i="138"/>
  <c r="AV30" i="138"/>
  <c r="AV19" i="138"/>
  <c r="AV23" i="138"/>
  <c r="AV32" i="138"/>
  <c r="AV28" i="138"/>
  <c r="AV18" i="138"/>
  <c r="AV22" i="138"/>
  <c r="AV27" i="138"/>
  <c r="AV31" i="138"/>
  <c r="AU42" i="138"/>
  <c r="AU43" i="138" s="1"/>
  <c r="AW7" i="138"/>
  <c r="AW9" i="138"/>
  <c r="AW8" i="138"/>
  <c r="AW6" i="138"/>
  <c r="AV20" i="138"/>
  <c r="AV24" i="138"/>
  <c r="AV29" i="138"/>
  <c r="AV33" i="138"/>
  <c r="N13" i="134"/>
  <c r="K23" i="134"/>
  <c r="E5" i="128"/>
  <c r="D5" i="128"/>
  <c r="BL15" i="138" l="1"/>
  <c r="BK32" i="138"/>
  <c r="BK28" i="138"/>
  <c r="BJ42" i="138"/>
  <c r="BJ43" i="138" s="1"/>
  <c r="BL14" i="138"/>
  <c r="BK31" i="138"/>
  <c r="BK27" i="138"/>
  <c r="AV41" i="138"/>
  <c r="BM33" i="138"/>
  <c r="BM29" i="138"/>
  <c r="BN8" i="138"/>
  <c r="BN6" i="138"/>
  <c r="BN9" i="138"/>
  <c r="BN7" i="138"/>
  <c r="BL41" i="138"/>
  <c r="BM34" i="138"/>
  <c r="BM30" i="138"/>
  <c r="AU44" i="138"/>
  <c r="AX9" i="138"/>
  <c r="AX7" i="138"/>
  <c r="AX8" i="138"/>
  <c r="AX6" i="138"/>
  <c r="AW33" i="138"/>
  <c r="AW29" i="138"/>
  <c r="AW34" i="138"/>
  <c r="AW30" i="138"/>
  <c r="AV42" i="138"/>
  <c r="AW27" i="138"/>
  <c r="AW31" i="138"/>
  <c r="AW28" i="138"/>
  <c r="AW32" i="138"/>
  <c r="O13" i="134"/>
  <c r="L23" i="134"/>
  <c r="E4" i="128"/>
  <c r="D4" i="128"/>
  <c r="D3" i="128"/>
  <c r="BM15" i="138" l="1"/>
  <c r="BL32" i="138"/>
  <c r="BL23" i="138"/>
  <c r="BL28" i="138"/>
  <c r="AV43" i="138"/>
  <c r="AV44" i="138" s="1"/>
  <c r="BK42" i="138"/>
  <c r="BK43" i="138" s="1"/>
  <c r="BM14" i="138"/>
  <c r="BL22" i="138"/>
  <c r="BL31" i="138"/>
  <c r="BL27" i="138"/>
  <c r="BO9" i="138"/>
  <c r="BO8" i="138"/>
  <c r="BO7" i="138"/>
  <c r="BO6" i="138"/>
  <c r="BN21" i="138"/>
  <c r="BN34" i="138"/>
  <c r="BN30" i="138"/>
  <c r="BN25" i="138"/>
  <c r="BN20" i="138"/>
  <c r="BN24" i="138"/>
  <c r="BN33" i="138"/>
  <c r="BN29" i="138"/>
  <c r="BN19" i="138"/>
  <c r="BN18" i="138"/>
  <c r="AW42" i="138"/>
  <c r="AW43" i="138" s="1"/>
  <c r="AX18" i="138"/>
  <c r="AX22" i="138"/>
  <c r="AX27" i="138"/>
  <c r="AX31" i="138"/>
  <c r="AX21" i="138"/>
  <c r="AX25" i="138"/>
  <c r="AX30" i="138"/>
  <c r="AX34" i="138"/>
  <c r="AX20" i="138"/>
  <c r="AX24" i="138"/>
  <c r="AX33" i="138"/>
  <c r="AX29" i="138"/>
  <c r="AY6" i="138"/>
  <c r="AY8" i="138"/>
  <c r="AY9" i="138"/>
  <c r="AY7" i="138"/>
  <c r="AX19" i="138"/>
  <c r="AX23" i="138"/>
  <c r="AX28" i="138"/>
  <c r="AX32" i="138"/>
  <c r="P13" i="134"/>
  <c r="M23" i="134"/>
  <c r="O6" i="122"/>
  <c r="Q7" i="122"/>
  <c r="P7" i="122"/>
  <c r="BN15" i="138" l="1"/>
  <c r="BM28" i="138"/>
  <c r="BM32" i="138"/>
  <c r="BL42" i="138"/>
  <c r="BL43" i="138" s="1"/>
  <c r="BN14" i="138"/>
  <c r="BM31" i="138"/>
  <c r="BM27" i="138"/>
  <c r="BO30" i="138"/>
  <c r="BO34" i="138"/>
  <c r="BN41" i="138"/>
  <c r="BO33" i="138"/>
  <c r="BO29" i="138"/>
  <c r="BP8" i="138"/>
  <c r="BP7" i="138"/>
  <c r="BP6" i="138"/>
  <c r="BP9" i="138"/>
  <c r="AW44" i="138"/>
  <c r="AZ9" i="138"/>
  <c r="AZ7" i="138"/>
  <c r="AZ8" i="138"/>
  <c r="AZ6" i="138"/>
  <c r="AY31" i="138"/>
  <c r="AY27" i="138"/>
  <c r="AX41" i="138"/>
  <c r="AX42" i="138"/>
  <c r="AY28" i="138"/>
  <c r="AY32" i="138"/>
  <c r="AY30" i="138"/>
  <c r="AY34" i="138"/>
  <c r="AY33" i="138"/>
  <c r="AY29" i="138"/>
  <c r="Q13" i="134"/>
  <c r="N23" i="134"/>
  <c r="P60" i="123"/>
  <c r="O60" i="123"/>
  <c r="P59" i="123"/>
  <c r="O59" i="123"/>
  <c r="P58" i="123"/>
  <c r="O58" i="123"/>
  <c r="P57" i="123"/>
  <c r="O57" i="123"/>
  <c r="P56" i="123"/>
  <c r="O56" i="123"/>
  <c r="P55" i="123"/>
  <c r="O55" i="123"/>
  <c r="P54" i="123"/>
  <c r="O54" i="123"/>
  <c r="BO15" i="138" l="1"/>
  <c r="BN28" i="138"/>
  <c r="BN23" i="138"/>
  <c r="BN32" i="138"/>
  <c r="AX43" i="138"/>
  <c r="AX44" i="138" s="1"/>
  <c r="BM42" i="138"/>
  <c r="BM43" i="138" s="1"/>
  <c r="BO14" i="138"/>
  <c r="BN22" i="138"/>
  <c r="BN31" i="138"/>
  <c r="BN27" i="138"/>
  <c r="BP20" i="138"/>
  <c r="BP24" i="138"/>
  <c r="BP33" i="138"/>
  <c r="BP29" i="138"/>
  <c r="BP18" i="138"/>
  <c r="BP19" i="138"/>
  <c r="BP21" i="138"/>
  <c r="BP25" i="138"/>
  <c r="BP30" i="138"/>
  <c r="BP34" i="138"/>
  <c r="BQ6" i="138"/>
  <c r="BQ9" i="138"/>
  <c r="BQ8" i="138"/>
  <c r="BQ7" i="138"/>
  <c r="AZ18" i="138"/>
  <c r="AZ22" i="138"/>
  <c r="AZ31" i="138"/>
  <c r="AZ27" i="138"/>
  <c r="AZ30" i="138"/>
  <c r="AZ21" i="138"/>
  <c r="AZ25" i="138"/>
  <c r="AZ34" i="138"/>
  <c r="AZ20" i="138"/>
  <c r="AZ24" i="138"/>
  <c r="AZ33" i="138"/>
  <c r="AZ29" i="138"/>
  <c r="BA6" i="138"/>
  <c r="BA8" i="138"/>
  <c r="BA7" i="138"/>
  <c r="BA9" i="138"/>
  <c r="AY42" i="138"/>
  <c r="AY43" i="138" s="1"/>
  <c r="AY44" i="138" s="1"/>
  <c r="AZ19" i="138"/>
  <c r="AZ23" i="138"/>
  <c r="AZ28" i="138"/>
  <c r="AZ32" i="138"/>
  <c r="R13" i="134"/>
  <c r="O23" i="134"/>
  <c r="E4" i="96"/>
  <c r="E5" i="96"/>
  <c r="E6" i="96"/>
  <c r="E7" i="96"/>
  <c r="E8" i="96"/>
  <c r="E9" i="96"/>
  <c r="E10" i="96"/>
  <c r="E11" i="96"/>
  <c r="E12" i="96"/>
  <c r="E13" i="96"/>
  <c r="E3" i="96"/>
  <c r="I24" i="96"/>
  <c r="I23" i="96"/>
  <c r="I22" i="96"/>
  <c r="I21" i="96"/>
  <c r="I20" i="96"/>
  <c r="I19" i="96"/>
  <c r="I18" i="96"/>
  <c r="L4" i="96"/>
  <c r="L5" i="96"/>
  <c r="L6" i="96"/>
  <c r="L7" i="96"/>
  <c r="L8" i="96"/>
  <c r="L9" i="96"/>
  <c r="L10" i="96"/>
  <c r="L11" i="96"/>
  <c r="L12" i="96"/>
  <c r="L13" i="96"/>
  <c r="L3" i="96"/>
  <c r="K14" i="96"/>
  <c r="BP15" i="138" l="1"/>
  <c r="BO32" i="138"/>
  <c r="BO28" i="138"/>
  <c r="BN42" i="138"/>
  <c r="BN43" i="138" s="1"/>
  <c r="BP14" i="138"/>
  <c r="BO31" i="138"/>
  <c r="BO27" i="138"/>
  <c r="BQ29" i="138"/>
  <c r="BQ33" i="138"/>
  <c r="BQ34" i="138"/>
  <c r="BQ30" i="138"/>
  <c r="BR8" i="138"/>
  <c r="BR9" i="138"/>
  <c r="BR7" i="138"/>
  <c r="BR6" i="138"/>
  <c r="BP41" i="138"/>
  <c r="AZ42" i="138"/>
  <c r="BA30" i="138"/>
  <c r="BA34" i="138"/>
  <c r="BB7" i="138"/>
  <c r="BB9" i="138"/>
  <c r="BB8" i="138"/>
  <c r="BB6" i="138"/>
  <c r="AZ41" i="138"/>
  <c r="BA32" i="138"/>
  <c r="BA28" i="138"/>
  <c r="BA33" i="138"/>
  <c r="BA29" i="138"/>
  <c r="BA27" i="138"/>
  <c r="BA31" i="138"/>
  <c r="S13" i="134"/>
  <c r="C13" i="134" s="1"/>
  <c r="C7" i="134"/>
  <c r="C15" i="134"/>
  <c r="F29" i="133" s="1"/>
  <c r="P23" i="134"/>
  <c r="BQ15" i="138" l="1"/>
  <c r="BP23" i="138"/>
  <c r="BP28" i="138"/>
  <c r="BP32" i="138"/>
  <c r="BO42" i="138"/>
  <c r="BO43" i="138" s="1"/>
  <c r="BQ14" i="138"/>
  <c r="BP22" i="138"/>
  <c r="BP27" i="138"/>
  <c r="BP31" i="138"/>
  <c r="BR29" i="138"/>
  <c r="BR33" i="138"/>
  <c r="BR30" i="138"/>
  <c r="BR34" i="138"/>
  <c r="BT5" i="138"/>
  <c r="BS7" i="138"/>
  <c r="BS8" i="138"/>
  <c r="BS6" i="138"/>
  <c r="BS9" i="138"/>
  <c r="AZ43" i="138"/>
  <c r="AZ44" i="138" s="1"/>
  <c r="BB30" i="138"/>
  <c r="BB34" i="138"/>
  <c r="BB31" i="138"/>
  <c r="BB27" i="138"/>
  <c r="BB28" i="138"/>
  <c r="BB32" i="138"/>
  <c r="BA42" i="138"/>
  <c r="BA43" i="138" s="1"/>
  <c r="BB33" i="138"/>
  <c r="BB29" i="138"/>
  <c r="BC7" i="138"/>
  <c r="BC9" i="138"/>
  <c r="BC8" i="138"/>
  <c r="BC6" i="138"/>
  <c r="V11" i="134"/>
  <c r="V6" i="134"/>
  <c r="U14" i="134"/>
  <c r="V12" i="134"/>
  <c r="V8" i="134"/>
  <c r="V9" i="134"/>
  <c r="V10" i="134"/>
  <c r="C26" i="133"/>
  <c r="V7" i="134"/>
  <c r="Q23" i="134"/>
  <c r="BR15" i="138" l="1"/>
  <c r="BQ28" i="138"/>
  <c r="BQ32" i="138"/>
  <c r="BP42" i="138"/>
  <c r="BP43" i="138" s="1"/>
  <c r="BR14" i="138"/>
  <c r="BQ31" i="138"/>
  <c r="BQ27" i="138"/>
  <c r="BS34" i="138"/>
  <c r="BS30" i="138"/>
  <c r="BU5" i="138"/>
  <c r="BT8" i="138"/>
  <c r="BT9" i="138"/>
  <c r="BT6" i="138"/>
  <c r="BT7" i="138"/>
  <c r="BS33" i="138"/>
  <c r="BS29" i="138"/>
  <c r="BA44" i="138"/>
  <c r="BC31" i="138"/>
  <c r="BC27" i="138"/>
  <c r="BB42" i="138"/>
  <c r="BB43" i="138" s="1"/>
  <c r="BC33" i="138"/>
  <c r="BC29" i="138"/>
  <c r="BC34" i="138"/>
  <c r="BC30" i="138"/>
  <c r="BC32" i="138"/>
  <c r="BC28" i="138"/>
  <c r="V13" i="134"/>
  <c r="R23" i="134"/>
  <c r="B43" i="121"/>
  <c r="B44" i="121"/>
  <c r="B45" i="121"/>
  <c r="B46" i="121"/>
  <c r="B47" i="121"/>
  <c r="B48" i="121"/>
  <c r="B49" i="121"/>
  <c r="B50" i="121"/>
  <c r="B51" i="121"/>
  <c r="B52" i="121"/>
  <c r="B53" i="121"/>
  <c r="B54" i="121"/>
  <c r="B55" i="121"/>
  <c r="B56" i="121"/>
  <c r="B57" i="121"/>
  <c r="B58" i="121"/>
  <c r="B59" i="121"/>
  <c r="B60" i="121"/>
  <c r="B61" i="121"/>
  <c r="B62" i="121"/>
  <c r="B63" i="121"/>
  <c r="B64" i="121"/>
  <c r="B65" i="121"/>
  <c r="B66" i="121"/>
  <c r="B67" i="121"/>
  <c r="B68" i="121"/>
  <c r="B69" i="121"/>
  <c r="BS15" i="138" l="1"/>
  <c r="BR28" i="138"/>
  <c r="BR32" i="138"/>
  <c r="BQ42" i="138"/>
  <c r="BQ43" i="138" s="1"/>
  <c r="BS14" i="138"/>
  <c r="BR27" i="138"/>
  <c r="BR31" i="138"/>
  <c r="BT25" i="138"/>
  <c r="BT34" i="138"/>
  <c r="BT21" i="138"/>
  <c r="BT30" i="138"/>
  <c r="BT24" i="138"/>
  <c r="BT33" i="138"/>
  <c r="BT20" i="138"/>
  <c r="BT29" i="138"/>
  <c r="BT18" i="138"/>
  <c r="BT19" i="138"/>
  <c r="BU9" i="138"/>
  <c r="BU7" i="138"/>
  <c r="BU8" i="138"/>
  <c r="BV5" i="138"/>
  <c r="BU6" i="138"/>
  <c r="BB44" i="138"/>
  <c r="BC42" i="138"/>
  <c r="BC43" i="138" s="1"/>
  <c r="C18" i="134"/>
  <c r="F31" i="133" s="1"/>
  <c r="S23" i="134"/>
  <c r="C23" i="134" s="1"/>
  <c r="BT15" i="138" l="1"/>
  <c r="BS32" i="138"/>
  <c r="BS28" i="138"/>
  <c r="BR42" i="138"/>
  <c r="BR43" i="138" s="1"/>
  <c r="BT14" i="138"/>
  <c r="BS31" i="138"/>
  <c r="BS27" i="138"/>
  <c r="BV7" i="138"/>
  <c r="BV9" i="138"/>
  <c r="BW5" i="138"/>
  <c r="BV6" i="138"/>
  <c r="BV8" i="138"/>
  <c r="BU33" i="138"/>
  <c r="BU29" i="138"/>
  <c r="BT41" i="138"/>
  <c r="BU34" i="138"/>
  <c r="BU30" i="138"/>
  <c r="BC44" i="138"/>
  <c r="BD44" i="138" s="1"/>
  <c r="BE44" i="138" s="1"/>
  <c r="BF44" i="138" s="1"/>
  <c r="BG44" i="138" s="1"/>
  <c r="BH44" i="138" s="1"/>
  <c r="BI44" i="138" s="1"/>
  <c r="BJ44" i="138" s="1"/>
  <c r="BK44" i="138" s="1"/>
  <c r="BL44" i="138" s="1"/>
  <c r="BM44" i="138" s="1"/>
  <c r="BN44" i="138" s="1"/>
  <c r="BO44" i="138" s="1"/>
  <c r="BP44" i="138" s="1"/>
  <c r="BQ44" i="138" s="1"/>
  <c r="U35" i="134"/>
  <c r="V29" i="134"/>
  <c r="V25" i="134"/>
  <c r="V31" i="134"/>
  <c r="V23" i="134"/>
  <c r="V26" i="134"/>
  <c r="V30" i="134"/>
  <c r="V28" i="134"/>
  <c r="V24" i="134"/>
  <c r="V27" i="134"/>
  <c r="P53" i="123"/>
  <c r="O53" i="123"/>
  <c r="N19" i="122"/>
  <c r="BR44" i="138" l="1"/>
  <c r="BU15" i="138"/>
  <c r="BT32" i="138"/>
  <c r="BT28" i="138"/>
  <c r="BT23" i="138"/>
  <c r="BS42" i="138"/>
  <c r="BS43" i="138" s="1"/>
  <c r="BU14" i="138"/>
  <c r="BT22" i="138"/>
  <c r="BT27" i="138"/>
  <c r="BT31" i="138"/>
  <c r="BW9" i="138"/>
  <c r="BW8" i="138"/>
  <c r="BW6" i="138"/>
  <c r="BX5" i="138"/>
  <c r="BW7" i="138"/>
  <c r="BV21" i="138"/>
  <c r="BV30" i="138"/>
  <c r="BV34" i="138"/>
  <c r="BV25" i="138"/>
  <c r="BV20" i="138"/>
  <c r="BV33" i="138"/>
  <c r="BV24" i="138"/>
  <c r="BV29" i="138"/>
  <c r="BV19" i="138"/>
  <c r="BV18" i="138"/>
  <c r="BV41" i="138" s="1"/>
  <c r="V34" i="134"/>
  <c r="Y28" i="20"/>
  <c r="BS44" i="138" l="1"/>
  <c r="BV15" i="138"/>
  <c r="BU28" i="138"/>
  <c r="BU32" i="138"/>
  <c r="BT42" i="138"/>
  <c r="BT43" i="138" s="1"/>
  <c r="BT44" i="138" s="1"/>
  <c r="BV14" i="138"/>
  <c r="BU27" i="138"/>
  <c r="BU31" i="138"/>
  <c r="BW29" i="138"/>
  <c r="BW33" i="138"/>
  <c r="BW34" i="138"/>
  <c r="BW30" i="138"/>
  <c r="BX9" i="138"/>
  <c r="BX8" i="138"/>
  <c r="BX7" i="138"/>
  <c r="BY5" i="138"/>
  <c r="BX6" i="138"/>
  <c r="P52" i="123"/>
  <c r="O52" i="123"/>
  <c r="T9" i="123"/>
  <c r="Q9" i="123"/>
  <c r="N9" i="123"/>
  <c r="N7" i="122"/>
  <c r="BW15" i="138" l="1"/>
  <c r="BV32" i="138"/>
  <c r="BV23" i="138"/>
  <c r="BV28" i="138"/>
  <c r="BU42" i="138"/>
  <c r="BU43" i="138" s="1"/>
  <c r="BU44" i="138" s="1"/>
  <c r="BW14" i="138"/>
  <c r="BV22" i="138"/>
  <c r="BV27" i="138"/>
  <c r="BV31" i="138"/>
  <c r="BX19" i="138"/>
  <c r="BX20" i="138"/>
  <c r="BX29" i="138"/>
  <c r="BX33" i="138"/>
  <c r="BX24" i="138"/>
  <c r="BY9" i="138"/>
  <c r="BZ5" i="138"/>
  <c r="BY6" i="138"/>
  <c r="BY8" i="138"/>
  <c r="BY7" i="138"/>
  <c r="BX18" i="138"/>
  <c r="BX21" i="138"/>
  <c r="BX30" i="138"/>
  <c r="BX25" i="138"/>
  <c r="BX34" i="138"/>
  <c r="F14" i="17"/>
  <c r="BX15" i="138" l="1"/>
  <c r="BW32" i="138"/>
  <c r="BW28" i="138"/>
  <c r="BV42" i="138"/>
  <c r="BV43" i="138" s="1"/>
  <c r="BV44" i="138" s="1"/>
  <c r="BX14" i="138"/>
  <c r="BW31" i="138"/>
  <c r="BW27" i="138"/>
  <c r="BZ6" i="138"/>
  <c r="BZ7" i="138"/>
  <c r="BZ9" i="138"/>
  <c r="CA5" i="138"/>
  <c r="BZ8" i="138"/>
  <c r="BX41" i="138"/>
  <c r="BY30" i="138"/>
  <c r="BY34" i="138"/>
  <c r="BY29" i="138"/>
  <c r="BY33" i="138"/>
  <c r="AH2" i="41"/>
  <c r="BY15" i="138" l="1"/>
  <c r="BX23" i="138"/>
  <c r="BX32" i="138"/>
  <c r="BX28" i="138"/>
  <c r="BW42" i="138"/>
  <c r="BW43" i="138" s="1"/>
  <c r="BW44" i="138" s="1"/>
  <c r="BY14" i="138"/>
  <c r="BX22" i="138"/>
  <c r="BX27" i="138"/>
  <c r="BX31" i="138"/>
  <c r="BZ21" i="138"/>
  <c r="BZ30" i="138"/>
  <c r="BZ25" i="138"/>
  <c r="BZ34" i="138"/>
  <c r="BZ20" i="138"/>
  <c r="BZ29" i="138"/>
  <c r="BZ33" i="138"/>
  <c r="BZ24" i="138"/>
  <c r="BZ19" i="138"/>
  <c r="BZ18" i="138"/>
  <c r="BZ41" i="138" s="1"/>
  <c r="CA8" i="138"/>
  <c r="CA7" i="138"/>
  <c r="CA9" i="138"/>
  <c r="CB5" i="138"/>
  <c r="CA6" i="138"/>
  <c r="G34" i="124"/>
  <c r="G35" i="124"/>
  <c r="G36" i="124"/>
  <c r="G37" i="124"/>
  <c r="G38" i="124"/>
  <c r="G39" i="124"/>
  <c r="G40" i="124"/>
  <c r="G41" i="124"/>
  <c r="G42" i="124"/>
  <c r="G43" i="124"/>
  <c r="G44" i="124"/>
  <c r="G45" i="124"/>
  <c r="G46" i="124"/>
  <c r="G47" i="124"/>
  <c r="G48" i="124"/>
  <c r="G52" i="124"/>
  <c r="BZ15" i="138" l="1"/>
  <c r="BY32" i="138"/>
  <c r="BY28" i="138"/>
  <c r="BX42" i="138"/>
  <c r="BX43" i="138" s="1"/>
  <c r="BX44" i="138" s="1"/>
  <c r="BZ14" i="138"/>
  <c r="BY31" i="138"/>
  <c r="BY27" i="138"/>
  <c r="CA30" i="138"/>
  <c r="CA34" i="138"/>
  <c r="CA33" i="138"/>
  <c r="CA29" i="138"/>
  <c r="CC5" i="138"/>
  <c r="CB8" i="138"/>
  <c r="CB7" i="138"/>
  <c r="CB9" i="138"/>
  <c r="CB6" i="138"/>
  <c r="N51" i="123"/>
  <c r="P51" i="123"/>
  <c r="O51" i="123"/>
  <c r="T51" i="123" s="1"/>
  <c r="T16" i="123"/>
  <c r="Q16" i="123"/>
  <c r="N16" i="123"/>
  <c r="CA15" i="138" l="1"/>
  <c r="BZ32" i="138"/>
  <c r="BZ28" i="138"/>
  <c r="BZ23" i="138"/>
  <c r="BY42" i="138"/>
  <c r="BY43" i="138" s="1"/>
  <c r="BY44" i="138" s="1"/>
  <c r="CA14" i="138"/>
  <c r="BZ27" i="138"/>
  <c r="BZ31" i="138"/>
  <c r="BZ22" i="138"/>
  <c r="CB21" i="138"/>
  <c r="CB34" i="138"/>
  <c r="CB30" i="138"/>
  <c r="CB25" i="138"/>
  <c r="CB19" i="138"/>
  <c r="CB18" i="138"/>
  <c r="CD5" i="138"/>
  <c r="CC6" i="138"/>
  <c r="CC9" i="138"/>
  <c r="CC8" i="138"/>
  <c r="CC7" i="138"/>
  <c r="CB20" i="138"/>
  <c r="CB24" i="138"/>
  <c r="CB33" i="138"/>
  <c r="CB29" i="138"/>
  <c r="P22" i="123"/>
  <c r="O22" i="123"/>
  <c r="CB15" i="138" l="1"/>
  <c r="CA28" i="138"/>
  <c r="CA32" i="138"/>
  <c r="BZ42" i="138"/>
  <c r="BZ43" i="138" s="1"/>
  <c r="BZ44" i="138" s="1"/>
  <c r="CB14" i="138"/>
  <c r="CA31" i="138"/>
  <c r="CA27" i="138"/>
  <c r="CC30" i="138"/>
  <c r="CC34" i="138"/>
  <c r="CD7" i="138"/>
  <c r="CD9" i="138"/>
  <c r="CD8" i="138"/>
  <c r="CD6" i="138"/>
  <c r="CE5" i="138"/>
  <c r="CC33" i="138"/>
  <c r="CC29" i="138"/>
  <c r="CB41" i="138"/>
  <c r="L21" i="122"/>
  <c r="O21" i="122" s="1"/>
  <c r="CC15" i="138" l="1"/>
  <c r="CB23" i="138"/>
  <c r="CB28" i="138"/>
  <c r="CB32" i="138"/>
  <c r="CA42" i="138"/>
  <c r="CA43" i="138" s="1"/>
  <c r="CA44" i="138" s="1"/>
  <c r="CC14" i="138"/>
  <c r="CB27" i="138"/>
  <c r="CB31" i="138"/>
  <c r="CB22" i="138"/>
  <c r="CE8" i="138"/>
  <c r="CF5" i="138"/>
  <c r="CE9" i="138"/>
  <c r="CE7" i="138"/>
  <c r="CE6" i="138"/>
  <c r="CD19" i="138"/>
  <c r="CD18" i="138"/>
  <c r="CD20" i="138"/>
  <c r="CD33" i="138"/>
  <c r="CD24" i="138"/>
  <c r="CD29" i="138"/>
  <c r="CD21" i="138"/>
  <c r="CD34" i="138"/>
  <c r="CD25" i="138"/>
  <c r="CD30" i="138"/>
  <c r="N14" i="123"/>
  <c r="CD15" i="138" l="1"/>
  <c r="CC32" i="138"/>
  <c r="CC28" i="138"/>
  <c r="CB42" i="138"/>
  <c r="CB43" i="138" s="1"/>
  <c r="CB44" i="138" s="1"/>
  <c r="CD14" i="138"/>
  <c r="CC31" i="138"/>
  <c r="CC27" i="138"/>
  <c r="CE33" i="138"/>
  <c r="CE29" i="138"/>
  <c r="CD41" i="138"/>
  <c r="CF8" i="138"/>
  <c r="CF6" i="138"/>
  <c r="CF9" i="138"/>
  <c r="CG5" i="138"/>
  <c r="CF7" i="138"/>
  <c r="CE34" i="138"/>
  <c r="CE30" i="138"/>
  <c r="P10" i="123"/>
  <c r="O10" i="123"/>
  <c r="H25" i="122"/>
  <c r="G25" i="122"/>
  <c r="G18" i="122"/>
  <c r="H18" i="122" s="1"/>
  <c r="H17" i="122"/>
  <c r="G17" i="122"/>
  <c r="G15" i="122"/>
  <c r="H15" i="122" s="1"/>
  <c r="G13" i="122"/>
  <c r="H13" i="122"/>
  <c r="H4" i="122"/>
  <c r="G4" i="122"/>
  <c r="H2" i="122"/>
  <c r="G2" i="122"/>
  <c r="P7" i="123"/>
  <c r="O7" i="123"/>
  <c r="CE15" i="138" l="1"/>
  <c r="CD32" i="138"/>
  <c r="CD23" i="138"/>
  <c r="CD28" i="138"/>
  <c r="CC42" i="138"/>
  <c r="CC43" i="138" s="1"/>
  <c r="CC44" i="138" s="1"/>
  <c r="CE14" i="138"/>
  <c r="CD31" i="138"/>
  <c r="CD27" i="138"/>
  <c r="CD22" i="138"/>
  <c r="CF20" i="138"/>
  <c r="CF29" i="138"/>
  <c r="CF24" i="138"/>
  <c r="CF33" i="138"/>
  <c r="CF21" i="138"/>
  <c r="CF25" i="138"/>
  <c r="CF30" i="138"/>
  <c r="CF34" i="138"/>
  <c r="CF18" i="138"/>
  <c r="CF19" i="138"/>
  <c r="CG6" i="138"/>
  <c r="CG8" i="138"/>
  <c r="CH5" i="138"/>
  <c r="CG9" i="138"/>
  <c r="CG7" i="138"/>
  <c r="H23" i="122"/>
  <c r="G23" i="122"/>
  <c r="CF15" i="138" l="1"/>
  <c r="CE28" i="138"/>
  <c r="CE32" i="138"/>
  <c r="CD42" i="138"/>
  <c r="CD43" i="138" s="1"/>
  <c r="CD44" i="138" s="1"/>
  <c r="CF14" i="138"/>
  <c r="CE27" i="138"/>
  <c r="CE31" i="138"/>
  <c r="CF41" i="138"/>
  <c r="CG34" i="138"/>
  <c r="CG30" i="138"/>
  <c r="CH6" i="138"/>
  <c r="CH7" i="138"/>
  <c r="CH9" i="138"/>
  <c r="CI5" i="138"/>
  <c r="CH8" i="138"/>
  <c r="CG29" i="138"/>
  <c r="CG33" i="138"/>
  <c r="N17" i="123"/>
  <c r="CG15" i="138" l="1"/>
  <c r="CF28" i="138"/>
  <c r="CF23" i="138"/>
  <c r="CF32" i="138"/>
  <c r="CE42" i="138"/>
  <c r="CE43" i="138" s="1"/>
  <c r="CE44" i="138" s="1"/>
  <c r="CG14" i="138"/>
  <c r="CF27" i="138"/>
  <c r="CF31" i="138"/>
  <c r="CF22" i="138"/>
  <c r="CI6" i="138"/>
  <c r="CI9" i="138"/>
  <c r="CI8" i="138"/>
  <c r="CI7" i="138"/>
  <c r="CH34" i="138"/>
  <c r="CH30" i="138"/>
  <c r="CH33" i="138"/>
  <c r="CH29" i="138"/>
  <c r="N27" i="123"/>
  <c r="N31" i="123"/>
  <c r="N39" i="123"/>
  <c r="P15" i="123"/>
  <c r="O15" i="123"/>
  <c r="E6" i="122"/>
  <c r="CH15" i="138" l="1"/>
  <c r="CG32" i="138"/>
  <c r="CG28" i="138"/>
  <c r="CF42" i="138"/>
  <c r="CF43" i="138" s="1"/>
  <c r="CF44" i="138" s="1"/>
  <c r="CH14" i="138"/>
  <c r="CG27" i="138"/>
  <c r="CG31" i="138"/>
  <c r="CI29" i="138"/>
  <c r="CI33" i="138"/>
  <c r="CI30" i="138"/>
  <c r="CI34" i="138"/>
  <c r="N48" i="123"/>
  <c r="N41" i="123"/>
  <c r="N33" i="123"/>
  <c r="N29" i="123"/>
  <c r="N24" i="123"/>
  <c r="N38" i="123"/>
  <c r="N47" i="123"/>
  <c r="N37" i="123"/>
  <c r="N36" i="123"/>
  <c r="N46" i="123"/>
  <c r="N44" i="123"/>
  <c r="N28" i="123"/>
  <c r="N40" i="123"/>
  <c r="N45" i="123"/>
  <c r="N32" i="123"/>
  <c r="N43" i="123"/>
  <c r="N30" i="123"/>
  <c r="N25" i="123"/>
  <c r="N26" i="123"/>
  <c r="N34" i="123"/>
  <c r="N42" i="123"/>
  <c r="N49" i="123"/>
  <c r="P23" i="123"/>
  <c r="O23" i="123"/>
  <c r="D21" i="122"/>
  <c r="C5" i="122"/>
  <c r="D19" i="122"/>
  <c r="CI15" i="138" l="1"/>
  <c r="CH32" i="138"/>
  <c r="CH28" i="138"/>
  <c r="CG42" i="138"/>
  <c r="CG43" i="138" s="1"/>
  <c r="CG44" i="138" s="1"/>
  <c r="CI14" i="138"/>
  <c r="CH31" i="138"/>
  <c r="CH27" i="138"/>
  <c r="N35" i="123"/>
  <c r="CH42" i="138" l="1"/>
  <c r="CH43" i="138" s="1"/>
  <c r="CH44" i="138" s="1"/>
  <c r="CI32" i="138"/>
  <c r="CI28" i="138"/>
  <c r="CI31" i="138"/>
  <c r="CI27" i="138"/>
  <c r="F42" i="122"/>
  <c r="G42" i="122"/>
  <c r="H42" i="122"/>
  <c r="I42" i="122"/>
  <c r="J42" i="122"/>
  <c r="K42" i="122"/>
  <c r="L42" i="122"/>
  <c r="M42" i="122"/>
  <c r="N42" i="122"/>
  <c r="O42" i="122"/>
  <c r="P42" i="122"/>
  <c r="Q42" i="122"/>
  <c r="R42" i="122"/>
  <c r="S42" i="122"/>
  <c r="E42" i="122"/>
  <c r="F17" i="122"/>
  <c r="I17" i="122" s="1"/>
  <c r="J17" i="122" s="1"/>
  <c r="K17" i="122" s="1"/>
  <c r="L17" i="122" s="1"/>
  <c r="M17" i="122" s="1"/>
  <c r="N17" i="122" s="1"/>
  <c r="O17" i="122" s="1"/>
  <c r="P17" i="122" s="1"/>
  <c r="Q17" i="122" s="1"/>
  <c r="R17" i="122" s="1"/>
  <c r="S17" i="122" s="1"/>
  <c r="F18" i="122"/>
  <c r="I18" i="122" s="1"/>
  <c r="J18" i="122" s="1"/>
  <c r="K18" i="122" s="1"/>
  <c r="L18" i="122" s="1"/>
  <c r="M18" i="122" s="1"/>
  <c r="N18" i="122" s="1"/>
  <c r="O18" i="122" s="1"/>
  <c r="P18" i="122" s="1"/>
  <c r="Q18" i="122" s="1"/>
  <c r="R18" i="122" s="1"/>
  <c r="S18" i="122" s="1"/>
  <c r="E18" i="122"/>
  <c r="E17" i="122"/>
  <c r="E23" i="122"/>
  <c r="I15" i="122"/>
  <c r="J15" i="122" s="1"/>
  <c r="K15" i="122" s="1"/>
  <c r="L15" i="122" s="1"/>
  <c r="M15" i="122" s="1"/>
  <c r="N15" i="122" s="1"/>
  <c r="O15" i="122" s="1"/>
  <c r="P15" i="122" s="1"/>
  <c r="Q15" i="122" s="1"/>
  <c r="R15" i="122" s="1"/>
  <c r="S15" i="122" s="1"/>
  <c r="C9" i="123"/>
  <c r="C21" i="122"/>
  <c r="F9" i="123"/>
  <c r="F8" i="123"/>
  <c r="D2" i="122"/>
  <c r="P28" i="123"/>
  <c r="O28" i="123"/>
  <c r="P25" i="123"/>
  <c r="O25" i="123"/>
  <c r="P42" i="123"/>
  <c r="O42" i="123"/>
  <c r="P36" i="123"/>
  <c r="O36" i="123"/>
  <c r="P29" i="123"/>
  <c r="O29" i="123"/>
  <c r="P40" i="123"/>
  <c r="O40" i="123"/>
  <c r="P49" i="123"/>
  <c r="O49" i="123"/>
  <c r="P43" i="123"/>
  <c r="O43" i="123"/>
  <c r="P39" i="123"/>
  <c r="O39" i="123"/>
  <c r="P33" i="123"/>
  <c r="O33" i="123"/>
  <c r="P30" i="123"/>
  <c r="O30" i="123"/>
  <c r="P38" i="123"/>
  <c r="O38" i="123"/>
  <c r="P41" i="123"/>
  <c r="O41" i="123"/>
  <c r="P34" i="123"/>
  <c r="O34" i="123"/>
  <c r="P46" i="123"/>
  <c r="O46" i="123"/>
  <c r="P31" i="123"/>
  <c r="O31" i="123"/>
  <c r="P47" i="123"/>
  <c r="O47" i="123"/>
  <c r="P48" i="123"/>
  <c r="O48" i="123"/>
  <c r="P37" i="123"/>
  <c r="O37" i="123"/>
  <c r="P45" i="123"/>
  <c r="O45" i="123"/>
  <c r="P44" i="123"/>
  <c r="O44" i="123"/>
  <c r="P35" i="123"/>
  <c r="O35" i="123"/>
  <c r="Q35" i="123" s="1"/>
  <c r="P26" i="123"/>
  <c r="O26" i="123"/>
  <c r="P20" i="123"/>
  <c r="O20" i="123"/>
  <c r="P18" i="123"/>
  <c r="O18" i="123"/>
  <c r="P5" i="123"/>
  <c r="O5" i="123"/>
  <c r="P19" i="123"/>
  <c r="O19" i="123"/>
  <c r="P13" i="123"/>
  <c r="O13" i="123"/>
  <c r="P27" i="123"/>
  <c r="O27" i="123"/>
  <c r="P32" i="123"/>
  <c r="O32" i="123"/>
  <c r="P50" i="123"/>
  <c r="O50" i="123"/>
  <c r="P24" i="123"/>
  <c r="O24" i="123"/>
  <c r="P4" i="123"/>
  <c r="O4" i="123"/>
  <c r="P21" i="123"/>
  <c r="O21" i="123"/>
  <c r="P17" i="123"/>
  <c r="O17" i="123"/>
  <c r="P16" i="123"/>
  <c r="O16" i="123"/>
  <c r="P14" i="123"/>
  <c r="O14" i="123"/>
  <c r="P12" i="123"/>
  <c r="O12" i="123"/>
  <c r="P11" i="123"/>
  <c r="O11" i="123"/>
  <c r="P9" i="123"/>
  <c r="O9" i="123"/>
  <c r="P8" i="123"/>
  <c r="O8" i="123"/>
  <c r="P6" i="123"/>
  <c r="O6" i="123"/>
  <c r="F13" i="123"/>
  <c r="C12" i="123"/>
  <c r="B22" i="122"/>
  <c r="C20" i="122"/>
  <c r="B18" i="122"/>
  <c r="B17" i="122"/>
  <c r="C16" i="122"/>
  <c r="B15" i="122"/>
  <c r="B14" i="122"/>
  <c r="R13" i="122"/>
  <c r="F13" i="122"/>
  <c r="D13" i="122"/>
  <c r="C12" i="122"/>
  <c r="C10" i="122"/>
  <c r="C9" i="122"/>
  <c r="C6" i="122"/>
  <c r="D5" i="122"/>
  <c r="E4" i="122"/>
  <c r="F4" i="122" s="1"/>
  <c r="I4" i="122" s="1"/>
  <c r="J4" i="122" s="1"/>
  <c r="K4" i="122" s="1"/>
  <c r="L4" i="122" s="1"/>
  <c r="M4" i="122" s="1"/>
  <c r="N4" i="122" s="1"/>
  <c r="O4" i="122" s="1"/>
  <c r="P77" i="119"/>
  <c r="O77" i="119"/>
  <c r="P76" i="119"/>
  <c r="O76" i="119"/>
  <c r="N49" i="119"/>
  <c r="P75" i="119"/>
  <c r="O75" i="119"/>
  <c r="P74" i="119"/>
  <c r="O74" i="119"/>
  <c r="P73" i="119"/>
  <c r="O73" i="119"/>
  <c r="P72" i="119"/>
  <c r="O72" i="119"/>
  <c r="P71" i="119"/>
  <c r="O71" i="119"/>
  <c r="P70" i="119"/>
  <c r="O70" i="119"/>
  <c r="P69" i="119"/>
  <c r="O69" i="119"/>
  <c r="P68" i="119"/>
  <c r="O68" i="119"/>
  <c r="P67" i="119"/>
  <c r="O67" i="119"/>
  <c r="P66" i="119"/>
  <c r="O66" i="119"/>
  <c r="P65" i="119"/>
  <c r="O65" i="119"/>
  <c r="P64" i="119"/>
  <c r="O64" i="119"/>
  <c r="N54" i="119"/>
  <c r="R14" i="118"/>
  <c r="R19" i="118"/>
  <c r="S11" i="118"/>
  <c r="CI42" i="138" l="1"/>
  <c r="CI43" i="138" s="1"/>
  <c r="CI44" i="138" s="1"/>
  <c r="F12" i="123"/>
  <c r="T21" i="123"/>
  <c r="Q21" i="123"/>
  <c r="C27" i="123"/>
  <c r="C24" i="123"/>
  <c r="C25" i="123"/>
  <c r="C8" i="123"/>
  <c r="F32" i="123"/>
  <c r="F24" i="123"/>
  <c r="Q14" i="123"/>
  <c r="T14" i="123"/>
  <c r="T27" i="123"/>
  <c r="Q27" i="123"/>
  <c r="T39" i="123"/>
  <c r="Q39" i="123"/>
  <c r="T31" i="123"/>
  <c r="Q31" i="123"/>
  <c r="Q24" i="123"/>
  <c r="T24" i="123"/>
  <c r="T32" i="123"/>
  <c r="Q32" i="123"/>
  <c r="T45" i="123"/>
  <c r="Q45" i="123"/>
  <c r="T48" i="123"/>
  <c r="Q48" i="123"/>
  <c r="Q34" i="123"/>
  <c r="T34" i="123"/>
  <c r="Q38" i="123"/>
  <c r="T38" i="123"/>
  <c r="Q33" i="123"/>
  <c r="T33" i="123"/>
  <c r="Q43" i="123"/>
  <c r="T43" i="123"/>
  <c r="T36" i="123"/>
  <c r="Q36" i="123"/>
  <c r="T25" i="123"/>
  <c r="Q25" i="123"/>
  <c r="T17" i="123"/>
  <c r="Q17" i="123"/>
  <c r="T26" i="123"/>
  <c r="Q26" i="123"/>
  <c r="Q44" i="123"/>
  <c r="T44" i="123"/>
  <c r="Q37" i="123"/>
  <c r="T37" i="123"/>
  <c r="Q47" i="123"/>
  <c r="T47" i="123"/>
  <c r="T46" i="123"/>
  <c r="Q46" i="123"/>
  <c r="T41" i="123"/>
  <c r="Q41" i="123"/>
  <c r="T30" i="123"/>
  <c r="Q30" i="123"/>
  <c r="T49" i="123"/>
  <c r="Q49" i="123"/>
  <c r="Q29" i="123"/>
  <c r="T29" i="123"/>
  <c r="T42" i="123"/>
  <c r="Q42" i="123"/>
  <c r="Q28" i="123"/>
  <c r="T28" i="123"/>
  <c r="Q40" i="123"/>
  <c r="T40" i="123"/>
  <c r="L14" i="122"/>
  <c r="M14" i="122" s="1"/>
  <c r="T35" i="123"/>
  <c r="J13" i="122"/>
  <c r="I13" i="122"/>
  <c r="C17" i="122"/>
  <c r="F23" i="123"/>
  <c r="C7" i="123"/>
  <c r="C13" i="123"/>
  <c r="C14" i="123"/>
  <c r="F6" i="123"/>
  <c r="C15" i="123"/>
  <c r="E2" i="122"/>
  <c r="F2" i="122" s="1"/>
  <c r="I2" i="122" s="1"/>
  <c r="J2" i="122" s="1"/>
  <c r="K2" i="122" s="1"/>
  <c r="L2" i="122" s="1"/>
  <c r="M2" i="122" s="1"/>
  <c r="N2" i="122" s="1"/>
  <c r="O2" i="122" s="1"/>
  <c r="P2" i="122" s="1"/>
  <c r="Q2" i="122" s="1"/>
  <c r="R2" i="122" s="1"/>
  <c r="S2" i="122" s="1"/>
  <c r="D25" i="122"/>
  <c r="E25" i="122" s="1"/>
  <c r="F25" i="122" s="1"/>
  <c r="I25" i="122" s="1"/>
  <c r="J25" i="122" s="1"/>
  <c r="K25" i="122" s="1"/>
  <c r="L25" i="122" s="1"/>
  <c r="M25" i="122" s="1"/>
  <c r="N25" i="122" s="1"/>
  <c r="O25" i="122" s="1"/>
  <c r="P25" i="122" s="1"/>
  <c r="Q25" i="122" s="1"/>
  <c r="R25" i="122" s="1"/>
  <c r="S25" i="122" s="1"/>
  <c r="C8" i="122"/>
  <c r="E13" i="122"/>
  <c r="C18" i="122"/>
  <c r="D23" i="122"/>
  <c r="C19" i="122"/>
  <c r="F20" i="123" l="1"/>
  <c r="F19" i="123" s="1"/>
  <c r="C6" i="133"/>
  <c r="F30" i="123"/>
  <c r="F31" i="123"/>
  <c r="C6" i="123"/>
  <c r="L23" i="122"/>
  <c r="C14" i="122"/>
  <c r="E37" i="122"/>
  <c r="E36" i="122"/>
  <c r="E35" i="122"/>
  <c r="F23" i="122"/>
  <c r="K13" i="122"/>
  <c r="K23" i="122"/>
  <c r="M23" i="122"/>
  <c r="N23" i="122"/>
  <c r="C22" i="122"/>
  <c r="C17" i="123"/>
  <c r="C11" i="123"/>
  <c r="D24" i="122"/>
  <c r="E5" i="122" s="1"/>
  <c r="E24" i="122" s="1"/>
  <c r="F5" i="122" s="1"/>
  <c r="O23" i="122"/>
  <c r="P4" i="122"/>
  <c r="Q4" i="122" s="1"/>
  <c r="R4" i="122" s="1"/>
  <c r="S11" i="122" s="1"/>
  <c r="S13" i="122" s="1"/>
  <c r="W7" i="119"/>
  <c r="W8" i="119" s="1"/>
  <c r="W9" i="119" s="1"/>
  <c r="F33" i="123" l="1"/>
  <c r="F28" i="123"/>
  <c r="F19" i="133"/>
  <c r="C11" i="122"/>
  <c r="E38" i="122"/>
  <c r="F24" i="122"/>
  <c r="G5" i="122" s="1"/>
  <c r="G24" i="122" s="1"/>
  <c r="H5" i="122" s="1"/>
  <c r="H24" i="122" s="1"/>
  <c r="L13" i="122"/>
  <c r="P23" i="122"/>
  <c r="W12" i="119"/>
  <c r="X7" i="119"/>
  <c r="X8" i="119" s="1"/>
  <c r="X9" i="119" s="1"/>
  <c r="C23" i="123" l="1"/>
  <c r="M13" i="122"/>
  <c r="Q23" i="122"/>
  <c r="I5" i="122"/>
  <c r="J23" i="122"/>
  <c r="I23" i="122"/>
  <c r="X12" i="119"/>
  <c r="N13" i="122" l="1"/>
  <c r="R23" i="122"/>
  <c r="I24" i="122"/>
  <c r="J5" i="122" s="1"/>
  <c r="J24" i="122" s="1"/>
  <c r="K5" i="122" s="1"/>
  <c r="K24" i="122" s="1"/>
  <c r="L5" i="122" s="1"/>
  <c r="L24" i="122" s="1"/>
  <c r="M5" i="122" s="1"/>
  <c r="M24" i="122" s="1"/>
  <c r="N5" i="122" s="1"/>
  <c r="N24" i="122" l="1"/>
  <c r="O5" i="122" s="1"/>
  <c r="O13" i="122"/>
  <c r="S23" i="122"/>
  <c r="C23" i="122" s="1"/>
  <c r="C15" i="122"/>
  <c r="F29" i="123" l="1"/>
  <c r="F27" i="123" s="1"/>
  <c r="Q13" i="122"/>
  <c r="P13" i="122"/>
  <c r="C7" i="122"/>
  <c r="O24" i="122"/>
  <c r="P5" i="122" s="1"/>
  <c r="V24" i="122"/>
  <c r="V29" i="122"/>
  <c r="V25" i="122"/>
  <c r="U35" i="122"/>
  <c r="V30" i="122"/>
  <c r="V26" i="122"/>
  <c r="V27" i="122"/>
  <c r="V31" i="122"/>
  <c r="V28" i="122"/>
  <c r="V23" i="122"/>
  <c r="C26" i="123" l="1"/>
  <c r="C22" i="123" s="1"/>
  <c r="C13" i="122"/>
  <c r="V11" i="122" s="1"/>
  <c r="P24" i="122"/>
  <c r="Q5" i="122" s="1"/>
  <c r="Q24" i="122" s="1"/>
  <c r="R5" i="122" s="1"/>
  <c r="R24" i="122" s="1"/>
  <c r="S5" i="122" s="1"/>
  <c r="S24" i="122" s="1"/>
  <c r="V34" i="122"/>
  <c r="C29" i="123" l="1"/>
  <c r="C34" i="123" s="1"/>
  <c r="D29" i="123" s="1"/>
  <c r="C22" i="133"/>
  <c r="V10" i="122"/>
  <c r="U14" i="122"/>
  <c r="C24" i="122"/>
  <c r="F11" i="123" s="1"/>
  <c r="V8" i="122"/>
  <c r="V12" i="122"/>
  <c r="V6" i="122"/>
  <c r="V9" i="122"/>
  <c r="V7" i="122"/>
  <c r="D7" i="123"/>
  <c r="D8" i="123"/>
  <c r="D18" i="123"/>
  <c r="D14" i="123"/>
  <c r="D11" i="123"/>
  <c r="D34" i="123"/>
  <c r="D27" i="123"/>
  <c r="D15" i="123"/>
  <c r="D24" i="123"/>
  <c r="D17" i="123"/>
  <c r="P63" i="119"/>
  <c r="O63" i="119"/>
  <c r="P62" i="119"/>
  <c r="O62" i="119"/>
  <c r="P61" i="119"/>
  <c r="O61" i="119"/>
  <c r="P60" i="119"/>
  <c r="O60" i="119"/>
  <c r="P59" i="119"/>
  <c r="O59" i="119"/>
  <c r="P58" i="119"/>
  <c r="O58" i="119"/>
  <c r="P57" i="119"/>
  <c r="O57" i="119"/>
  <c r="P56" i="119"/>
  <c r="O56" i="119"/>
  <c r="P55" i="119"/>
  <c r="O55" i="119"/>
  <c r="P54" i="119"/>
  <c r="O54" i="119"/>
  <c r="AF1" i="41"/>
  <c r="N53" i="119"/>
  <c r="L49" i="119"/>
  <c r="P49" i="119"/>
  <c r="O49" i="119"/>
  <c r="P6" i="118"/>
  <c r="P7" i="118"/>
  <c r="S25" i="119"/>
  <c r="N25" i="119"/>
  <c r="P25" i="119"/>
  <c r="O25" i="119"/>
  <c r="O7" i="118"/>
  <c r="N5" i="119"/>
  <c r="O5" i="119" s="1"/>
  <c r="T5" i="119" s="1"/>
  <c r="P5" i="119"/>
  <c r="N6" i="118"/>
  <c r="N10" i="119"/>
  <c r="O10" i="119" s="1"/>
  <c r="T10" i="119" s="1"/>
  <c r="P10" i="119"/>
  <c r="P48" i="119"/>
  <c r="O48" i="119"/>
  <c r="L6" i="118"/>
  <c r="D23" i="123" l="1"/>
  <c r="D25" i="123"/>
  <c r="D6" i="123"/>
  <c r="D9" i="123"/>
  <c r="D26" i="123"/>
  <c r="D12" i="123"/>
  <c r="D13" i="123"/>
  <c r="D22" i="123"/>
  <c r="D19" i="123"/>
  <c r="F34" i="123"/>
  <c r="G17" i="123" s="1"/>
  <c r="F6" i="133"/>
  <c r="D5" i="134"/>
  <c r="D24" i="134" s="1"/>
  <c r="E5" i="134" s="1"/>
  <c r="E24" i="134" s="1"/>
  <c r="F5" i="134" s="1"/>
  <c r="F24" i="134" s="1"/>
  <c r="G5" i="134" s="1"/>
  <c r="G24" i="134" s="1"/>
  <c r="H5" i="134" s="1"/>
  <c r="H24" i="134" s="1"/>
  <c r="I5" i="134" s="1"/>
  <c r="I24" i="134" s="1"/>
  <c r="J5" i="134" s="1"/>
  <c r="J24" i="134" s="1"/>
  <c r="K5" i="134" s="1"/>
  <c r="K24" i="134" s="1"/>
  <c r="L5" i="134" s="1"/>
  <c r="L24" i="134" s="1"/>
  <c r="M5" i="134" s="1"/>
  <c r="M24" i="134" s="1"/>
  <c r="C24" i="134"/>
  <c r="F17" i="133" s="1"/>
  <c r="F11" i="133" s="1"/>
  <c r="F9" i="137" s="1"/>
  <c r="G30" i="123"/>
  <c r="V13" i="122"/>
  <c r="G23" i="123"/>
  <c r="T49" i="119"/>
  <c r="Q49" i="119"/>
  <c r="Q54" i="119"/>
  <c r="T54" i="119"/>
  <c r="T25" i="119"/>
  <c r="K8" i="118"/>
  <c r="N12" i="119"/>
  <c r="O12" i="119" s="1"/>
  <c r="T12" i="119" s="1"/>
  <c r="P12" i="119"/>
  <c r="P47" i="119"/>
  <c r="O47" i="119"/>
  <c r="F6" i="137" l="1"/>
  <c r="N5" i="134"/>
  <c r="N24" i="134" s="1"/>
  <c r="O5" i="134" s="1"/>
  <c r="O24" i="134" s="1"/>
  <c r="P5" i="134" s="1"/>
  <c r="P24" i="134" s="1"/>
  <c r="Q5" i="134" s="1"/>
  <c r="Q24" i="134" s="1"/>
  <c r="R5" i="134" s="1"/>
  <c r="R24" i="134" s="1"/>
  <c r="S5" i="134" s="1"/>
  <c r="S24" i="134" s="1"/>
  <c r="G8" i="123"/>
  <c r="G12" i="123"/>
  <c r="G33" i="123"/>
  <c r="G32" i="123"/>
  <c r="G34" i="123"/>
  <c r="G11" i="123"/>
  <c r="G25" i="123"/>
  <c r="G16" i="123"/>
  <c r="G27" i="123"/>
  <c r="G6" i="123"/>
  <c r="G21" i="123"/>
  <c r="G20" i="123"/>
  <c r="G13" i="123"/>
  <c r="G9" i="123"/>
  <c r="G14" i="123"/>
  <c r="F35" i="123"/>
  <c r="G24" i="123"/>
  <c r="G31" i="123"/>
  <c r="G7" i="123"/>
  <c r="G15" i="123"/>
  <c r="G19" i="123"/>
  <c r="G28" i="123"/>
  <c r="G29" i="123"/>
  <c r="F34" i="133"/>
  <c r="I14" i="118"/>
  <c r="H8" i="118"/>
  <c r="H6" i="118"/>
  <c r="I9" i="118"/>
  <c r="P46" i="119"/>
  <c r="O46" i="119"/>
  <c r="P45" i="119"/>
  <c r="O45" i="119"/>
  <c r="P27" i="119"/>
  <c r="O27" i="119"/>
  <c r="T27" i="119" s="1"/>
  <c r="N26" i="119"/>
  <c r="O26" i="119" s="1"/>
  <c r="T26" i="119" s="1"/>
  <c r="P26" i="119"/>
  <c r="N50" i="119"/>
  <c r="N28" i="119"/>
  <c r="N23" i="119"/>
  <c r="N51" i="119"/>
  <c r="L15" i="118"/>
  <c r="M15" i="118" s="1"/>
  <c r="N15" i="118" s="1"/>
  <c r="O15" i="118" s="1"/>
  <c r="P15" i="118" s="1"/>
  <c r="Q15" i="118" s="1"/>
  <c r="R15" i="118" s="1"/>
  <c r="S15" i="118" s="1"/>
  <c r="G15" i="118"/>
  <c r="H15" i="118" s="1"/>
  <c r="I15" i="118" s="1"/>
  <c r="J15" i="118" s="1"/>
  <c r="F15" i="118"/>
  <c r="C29" i="133" l="1"/>
  <c r="C34" i="133" s="1"/>
  <c r="D22" i="133" s="1"/>
  <c r="C5" i="136"/>
  <c r="N6" i="119"/>
  <c r="N52" i="119"/>
  <c r="N7" i="119"/>
  <c r="O7" i="119" s="1"/>
  <c r="T7" i="119" s="1"/>
  <c r="P7" i="119"/>
  <c r="D13" i="133" l="1"/>
  <c r="D34" i="133"/>
  <c r="D26" i="133"/>
  <c r="D11" i="133"/>
  <c r="D24" i="133"/>
  <c r="D17" i="133"/>
  <c r="D15" i="133"/>
  <c r="D8" i="133"/>
  <c r="D18" i="133"/>
  <c r="D12" i="133"/>
  <c r="D19" i="133"/>
  <c r="D14" i="133"/>
  <c r="D9" i="133"/>
  <c r="D7" i="133"/>
  <c r="C21" i="137"/>
  <c r="D5" i="136"/>
  <c r="D24" i="136" s="1"/>
  <c r="E5" i="136" s="1"/>
  <c r="E24" i="136" s="1"/>
  <c r="F5" i="136" s="1"/>
  <c r="F24" i="136" s="1"/>
  <c r="G5" i="136" s="1"/>
  <c r="G24" i="136" s="1"/>
  <c r="H5" i="136" s="1"/>
  <c r="H24" i="136" s="1"/>
  <c r="I5" i="136" s="1"/>
  <c r="I24" i="136" s="1"/>
  <c r="J5" i="136" s="1"/>
  <c r="J24" i="136" s="1"/>
  <c r="K5" i="136" s="1"/>
  <c r="K24" i="136" s="1"/>
  <c r="L5" i="136" s="1"/>
  <c r="L24" i="136" s="1"/>
  <c r="M5" i="136" s="1"/>
  <c r="M24" i="136" s="1"/>
  <c r="N5" i="136" s="1"/>
  <c r="N24" i="136" s="1"/>
  <c r="O5" i="136" s="1"/>
  <c r="O24" i="136" s="1"/>
  <c r="P5" i="136" s="1"/>
  <c r="P24" i="136" s="1"/>
  <c r="Q5" i="136" s="1"/>
  <c r="Q24" i="136" s="1"/>
  <c r="R5" i="136" s="1"/>
  <c r="R24" i="136" s="1"/>
  <c r="S5" i="136" s="1"/>
  <c r="S24" i="136" s="1"/>
  <c r="C24" i="136"/>
  <c r="D25" i="133"/>
  <c r="D29" i="133"/>
  <c r="D6" i="133"/>
  <c r="D23" i="133"/>
  <c r="D27" i="133"/>
  <c r="G12" i="133"/>
  <c r="G16" i="133"/>
  <c r="G13" i="133"/>
  <c r="G15" i="133"/>
  <c r="F35" i="133"/>
  <c r="G14" i="133"/>
  <c r="G8" i="133"/>
  <c r="G6" i="133"/>
  <c r="G7" i="133"/>
  <c r="G34" i="133"/>
  <c r="G21" i="133"/>
  <c r="G9" i="133"/>
  <c r="G32" i="133"/>
  <c r="G20" i="133"/>
  <c r="G30" i="133"/>
  <c r="G31" i="133"/>
  <c r="G33" i="133"/>
  <c r="G19" i="133"/>
  <c r="G28" i="133"/>
  <c r="G29" i="133"/>
  <c r="G27" i="133"/>
  <c r="G17" i="133"/>
  <c r="G11" i="133"/>
  <c r="F11" i="137" l="1"/>
  <c r="F30" i="137" s="1"/>
  <c r="C33" i="137"/>
  <c r="C34" i="137" s="1"/>
  <c r="C30" i="137"/>
  <c r="D21" i="137" s="1"/>
  <c r="N16" i="119"/>
  <c r="O16" i="119" s="1"/>
  <c r="Q16" i="119" s="1"/>
  <c r="N14" i="119"/>
  <c r="O14" i="119" s="1"/>
  <c r="Q14" i="119" s="1"/>
  <c r="N19" i="119"/>
  <c r="N17" i="119"/>
  <c r="O17" i="119" s="1"/>
  <c r="Q17" i="119" s="1"/>
  <c r="N11" i="119"/>
  <c r="O11" i="119" s="1"/>
  <c r="Q11" i="119" s="1"/>
  <c r="E8" i="118"/>
  <c r="N9" i="119"/>
  <c r="O9" i="119" s="1"/>
  <c r="Q9" i="119" s="1"/>
  <c r="E19" i="118"/>
  <c r="C19" i="118" s="1"/>
  <c r="F20" i="119" s="1"/>
  <c r="N21" i="119"/>
  <c r="O21" i="119" s="1"/>
  <c r="T21" i="119" s="1"/>
  <c r="N13" i="119"/>
  <c r="O13" i="119" s="1"/>
  <c r="T13" i="119" s="1"/>
  <c r="N18" i="119"/>
  <c r="N15" i="119"/>
  <c r="O15" i="119" s="1"/>
  <c r="Q15" i="119" s="1"/>
  <c r="N20" i="119"/>
  <c r="O20" i="119" s="1"/>
  <c r="N24" i="119"/>
  <c r="O24" i="119" s="1"/>
  <c r="N22" i="119"/>
  <c r="N4" i="119"/>
  <c r="P44" i="119"/>
  <c r="O44" i="119"/>
  <c r="N8" i="119"/>
  <c r="O8" i="119" s="1"/>
  <c r="T8" i="119" s="1"/>
  <c r="P8" i="119"/>
  <c r="D6" i="118"/>
  <c r="F21" i="119"/>
  <c r="F13" i="119"/>
  <c r="C18" i="119"/>
  <c r="C12" i="119"/>
  <c r="P24" i="119"/>
  <c r="P18" i="119"/>
  <c r="O18" i="119"/>
  <c r="T18" i="119" s="1"/>
  <c r="P50" i="119"/>
  <c r="O50" i="119"/>
  <c r="P22" i="119"/>
  <c r="O22" i="119"/>
  <c r="Q22" i="119" s="1"/>
  <c r="P16" i="119"/>
  <c r="P43" i="119"/>
  <c r="O43" i="119"/>
  <c r="P21" i="119"/>
  <c r="P42" i="119"/>
  <c r="O42" i="119"/>
  <c r="P20" i="119"/>
  <c r="P13" i="119"/>
  <c r="P11" i="119"/>
  <c r="P28" i="119"/>
  <c r="O28" i="119"/>
  <c r="P15" i="119"/>
  <c r="P14" i="119"/>
  <c r="P19" i="119"/>
  <c r="O19" i="119"/>
  <c r="T19" i="119" s="1"/>
  <c r="P17" i="119"/>
  <c r="P23" i="119"/>
  <c r="O23" i="119"/>
  <c r="P9" i="119"/>
  <c r="P41" i="119"/>
  <c r="O41" i="119"/>
  <c r="O40" i="119"/>
  <c r="P39" i="119"/>
  <c r="O39" i="119"/>
  <c r="P38" i="119"/>
  <c r="O38" i="119"/>
  <c r="P52" i="119"/>
  <c r="O52" i="119"/>
  <c r="P6" i="119"/>
  <c r="O6" i="119"/>
  <c r="P37" i="119"/>
  <c r="O37" i="119"/>
  <c r="P53" i="119"/>
  <c r="O53" i="119"/>
  <c r="P36" i="119"/>
  <c r="O36" i="119"/>
  <c r="P35" i="119"/>
  <c r="O35" i="119"/>
  <c r="P4" i="119"/>
  <c r="O4" i="119"/>
  <c r="P34" i="119"/>
  <c r="O34" i="119"/>
  <c r="P51" i="119"/>
  <c r="O51" i="119"/>
  <c r="P33" i="119"/>
  <c r="O33" i="119"/>
  <c r="P32" i="119"/>
  <c r="O32" i="119"/>
  <c r="P31" i="119"/>
  <c r="O31" i="119"/>
  <c r="P30" i="119"/>
  <c r="O30" i="119"/>
  <c r="P29" i="119"/>
  <c r="O29" i="119"/>
  <c r="E22" i="118"/>
  <c r="F22" i="118" s="1"/>
  <c r="B22" i="118"/>
  <c r="C21" i="118"/>
  <c r="F32" i="119" s="1"/>
  <c r="C20" i="118"/>
  <c r="F25" i="119" s="1"/>
  <c r="E18" i="118"/>
  <c r="F18" i="118" s="1"/>
  <c r="B18" i="118"/>
  <c r="S17" i="118"/>
  <c r="R17" i="118"/>
  <c r="Q17" i="118"/>
  <c r="P17" i="118"/>
  <c r="O17" i="118"/>
  <c r="N17" i="118"/>
  <c r="M17" i="118"/>
  <c r="L17" i="118"/>
  <c r="K17" i="118"/>
  <c r="J17" i="118"/>
  <c r="I17" i="118"/>
  <c r="H17" i="118"/>
  <c r="G17" i="118"/>
  <c r="F17" i="118"/>
  <c r="E17" i="118"/>
  <c r="B17" i="118"/>
  <c r="C16" i="118"/>
  <c r="B15" i="118"/>
  <c r="B14" i="118"/>
  <c r="S13" i="118"/>
  <c r="E13" i="118"/>
  <c r="D13" i="118"/>
  <c r="C10" i="118"/>
  <c r="C27" i="119" s="1"/>
  <c r="C9" i="118"/>
  <c r="C7" i="118"/>
  <c r="C26" i="119" s="1"/>
  <c r="E4" i="118"/>
  <c r="F4" i="118" s="1"/>
  <c r="G4" i="118" s="1"/>
  <c r="P74" i="113"/>
  <c r="O74" i="113"/>
  <c r="P73" i="113"/>
  <c r="O73" i="113"/>
  <c r="P72" i="113"/>
  <c r="O72" i="113"/>
  <c r="P71" i="113"/>
  <c r="O71" i="113"/>
  <c r="S11" i="112"/>
  <c r="S12" i="112"/>
  <c r="P70" i="113"/>
  <c r="O70" i="113"/>
  <c r="P69" i="113"/>
  <c r="O69" i="113"/>
  <c r="P68" i="113"/>
  <c r="O68" i="113"/>
  <c r="P67" i="113"/>
  <c r="O67" i="113"/>
  <c r="P66" i="113"/>
  <c r="O66" i="113"/>
  <c r="P65" i="113"/>
  <c r="O65" i="113"/>
  <c r="P64" i="113"/>
  <c r="O64" i="113"/>
  <c r="R6" i="112"/>
  <c r="AJ29" i="29"/>
  <c r="AH29" i="29"/>
  <c r="AF29" i="29"/>
  <c r="AJ28" i="29"/>
  <c r="AH28" i="29"/>
  <c r="AF28" i="29"/>
  <c r="AJ27" i="29"/>
  <c r="AH27" i="29"/>
  <c r="AF27" i="29"/>
  <c r="AJ26" i="29"/>
  <c r="AH26" i="29"/>
  <c r="AF26" i="29"/>
  <c r="P63" i="113"/>
  <c r="O63" i="113"/>
  <c r="P62" i="113"/>
  <c r="O62" i="113"/>
  <c r="P61" i="113"/>
  <c r="O61" i="113"/>
  <c r="P60" i="113"/>
  <c r="O60" i="113"/>
  <c r="P59" i="113"/>
  <c r="O59" i="113"/>
  <c r="P58" i="113"/>
  <c r="O58" i="113"/>
  <c r="D26" i="137" l="1"/>
  <c r="D15" i="137"/>
  <c r="D11" i="137"/>
  <c r="D6" i="137"/>
  <c r="D30" i="137"/>
  <c r="D25" i="137"/>
  <c r="D19" i="137"/>
  <c r="D14" i="137"/>
  <c r="D9" i="137"/>
  <c r="D28" i="137"/>
  <c r="D24" i="137"/>
  <c r="D18" i="137"/>
  <c r="D13" i="137"/>
  <c r="D8" i="137"/>
  <c r="D27" i="137"/>
  <c r="D23" i="137"/>
  <c r="D17" i="137"/>
  <c r="D12" i="137"/>
  <c r="D7" i="137"/>
  <c r="F31" i="137"/>
  <c r="G11" i="137"/>
  <c r="G21" i="137"/>
  <c r="G19" i="137"/>
  <c r="G30" i="137"/>
  <c r="G23" i="137"/>
  <c r="G24" i="137"/>
  <c r="G13" i="137"/>
  <c r="G16" i="137"/>
  <c r="G28" i="137"/>
  <c r="G14" i="137"/>
  <c r="G17" i="137"/>
  <c r="G29" i="137"/>
  <c r="G15" i="137"/>
  <c r="G8" i="137"/>
  <c r="G20" i="137"/>
  <c r="G26" i="137"/>
  <c r="G7" i="137"/>
  <c r="G12" i="137"/>
  <c r="G27" i="137"/>
  <c r="G25" i="137"/>
  <c r="G9" i="137"/>
  <c r="G6" i="137"/>
  <c r="Q53" i="119"/>
  <c r="T53" i="119"/>
  <c r="T52" i="119"/>
  <c r="Q52" i="119"/>
  <c r="T23" i="119"/>
  <c r="Q23" i="119"/>
  <c r="Q28" i="119"/>
  <c r="T28" i="119"/>
  <c r="Q50" i="119"/>
  <c r="T50" i="119"/>
  <c r="T6" i="119"/>
  <c r="Q6" i="119"/>
  <c r="T51" i="119"/>
  <c r="Q51" i="119"/>
  <c r="Q19" i="119"/>
  <c r="T17" i="119"/>
  <c r="T16" i="119"/>
  <c r="T11" i="119"/>
  <c r="T9" i="119"/>
  <c r="T14" i="119"/>
  <c r="F15" i="119"/>
  <c r="Q20" i="119"/>
  <c r="T20" i="119"/>
  <c r="T15" i="119"/>
  <c r="Q21" i="119"/>
  <c r="Q24" i="119"/>
  <c r="T24" i="119"/>
  <c r="T22" i="119"/>
  <c r="Q18" i="119"/>
  <c r="Q13" i="119"/>
  <c r="C13" i="119"/>
  <c r="T4" i="119"/>
  <c r="Q4" i="119"/>
  <c r="C19" i="119"/>
  <c r="F16" i="119"/>
  <c r="C15" i="119"/>
  <c r="H4" i="118"/>
  <c r="I4" i="118" s="1"/>
  <c r="J4" i="118" s="1"/>
  <c r="K4" i="118" s="1"/>
  <c r="J13" i="118"/>
  <c r="H13" i="118"/>
  <c r="G13" i="118"/>
  <c r="I13" i="118"/>
  <c r="F12" i="119"/>
  <c r="C14" i="119"/>
  <c r="F14" i="119"/>
  <c r="F24" i="119"/>
  <c r="E23" i="118"/>
  <c r="C8" i="118"/>
  <c r="C12" i="118"/>
  <c r="C24" i="119" s="1"/>
  <c r="G18" i="118"/>
  <c r="H18" i="118" s="1"/>
  <c r="I18" i="118" s="1"/>
  <c r="J18" i="118" s="1"/>
  <c r="K18" i="118" s="1"/>
  <c r="L18" i="118" s="1"/>
  <c r="M18" i="118" s="1"/>
  <c r="N18" i="118" s="1"/>
  <c r="O18" i="118" s="1"/>
  <c r="P18" i="118" s="1"/>
  <c r="Q18" i="118" s="1"/>
  <c r="R18" i="118" s="1"/>
  <c r="S18" i="118" s="1"/>
  <c r="G22" i="118"/>
  <c r="F23" i="118"/>
  <c r="C6" i="118"/>
  <c r="C25" i="119" s="1"/>
  <c r="F13" i="118"/>
  <c r="C14" i="118"/>
  <c r="F28" i="119" s="1"/>
  <c r="S59" i="110"/>
  <c r="Q59" i="110"/>
  <c r="R59" i="110" s="1"/>
  <c r="S58" i="110"/>
  <c r="Q58" i="110"/>
  <c r="R58" i="110" s="1"/>
  <c r="P57" i="113"/>
  <c r="O57" i="113"/>
  <c r="N6" i="113"/>
  <c r="N26" i="113"/>
  <c r="AH3" i="41"/>
  <c r="AF4" i="41"/>
  <c r="N35" i="113"/>
  <c r="M6" i="112"/>
  <c r="P40" i="113"/>
  <c r="O40" i="113"/>
  <c r="N37" i="113"/>
  <c r="U16" i="22"/>
  <c r="T16" i="22"/>
  <c r="U15" i="22"/>
  <c r="T15" i="22"/>
  <c r="N17" i="113"/>
  <c r="N32" i="113"/>
  <c r="N33" i="113"/>
  <c r="N34" i="113"/>
  <c r="N29" i="113"/>
  <c r="L8" i="112"/>
  <c r="C23" i="29" l="1"/>
  <c r="C22" i="29"/>
  <c r="C25" i="29"/>
  <c r="S37" i="118"/>
  <c r="S35" i="118"/>
  <c r="S36" i="118"/>
  <c r="K13" i="118"/>
  <c r="L11" i="118"/>
  <c r="L4" i="118"/>
  <c r="C11" i="119"/>
  <c r="C17" i="119"/>
  <c r="H22" i="118"/>
  <c r="C18" i="118"/>
  <c r="F31" i="119" s="1"/>
  <c r="G23" i="118"/>
  <c r="AH1" i="41"/>
  <c r="AI1" i="41" s="1"/>
  <c r="S38" i="118" l="1"/>
  <c r="M11" i="118"/>
  <c r="L13" i="118"/>
  <c r="M4" i="118"/>
  <c r="H23" i="118"/>
  <c r="I22" i="118"/>
  <c r="N4" i="118" l="1"/>
  <c r="N11" i="118"/>
  <c r="M13" i="118"/>
  <c r="J22" i="118"/>
  <c r="I23" i="118"/>
  <c r="O4" i="118" l="1"/>
  <c r="N13" i="118"/>
  <c r="O11" i="118"/>
  <c r="J23" i="118"/>
  <c r="K22" i="118"/>
  <c r="P4" i="118" l="1"/>
  <c r="O13" i="118"/>
  <c r="P11" i="118"/>
  <c r="L22" i="118"/>
  <c r="K23" i="118"/>
  <c r="Q4" i="118" l="1"/>
  <c r="P13" i="118"/>
  <c r="M22" i="118"/>
  <c r="L23" i="118"/>
  <c r="R4" i="118" l="1"/>
  <c r="Q13" i="118"/>
  <c r="M23" i="118"/>
  <c r="N22" i="118"/>
  <c r="N5" i="113"/>
  <c r="O5" i="113" s="1"/>
  <c r="T5" i="113" s="1"/>
  <c r="P5" i="113"/>
  <c r="N38" i="113"/>
  <c r="J8" i="112"/>
  <c r="P43" i="113"/>
  <c r="O43" i="113"/>
  <c r="S4" i="118" l="1"/>
  <c r="R13" i="118"/>
  <c r="C13" i="118" s="1"/>
  <c r="C11" i="118"/>
  <c r="N23" i="118"/>
  <c r="O22" i="118"/>
  <c r="N4" i="113"/>
  <c r="O4" i="113" s="1"/>
  <c r="T4" i="113" s="1"/>
  <c r="P4" i="113"/>
  <c r="N23" i="113"/>
  <c r="V6" i="118" l="1"/>
  <c r="V9" i="118"/>
  <c r="U14" i="118"/>
  <c r="V7" i="118"/>
  <c r="V12" i="118"/>
  <c r="V10" i="118"/>
  <c r="V8" i="118"/>
  <c r="C23" i="119"/>
  <c r="V11" i="118"/>
  <c r="P22" i="118"/>
  <c r="O23" i="118"/>
  <c r="I6" i="112"/>
  <c r="N28" i="113"/>
  <c r="I8" i="112"/>
  <c r="V13" i="118" l="1"/>
  <c r="P23" i="118"/>
  <c r="Q22" i="118"/>
  <c r="H6" i="112"/>
  <c r="G6" i="112"/>
  <c r="F6" i="112"/>
  <c r="N27" i="113"/>
  <c r="N13" i="113"/>
  <c r="N36" i="113"/>
  <c r="R22" i="118" l="1"/>
  <c r="Q23" i="118"/>
  <c r="E3" i="114"/>
  <c r="F3" i="114"/>
  <c r="E4" i="114"/>
  <c r="F4" i="114"/>
  <c r="E5" i="114"/>
  <c r="F5" i="114"/>
  <c r="E6" i="114"/>
  <c r="F6" i="114"/>
  <c r="F2" i="114"/>
  <c r="E2" i="114"/>
  <c r="T17" i="114"/>
  <c r="P21" i="114"/>
  <c r="O21" i="114"/>
  <c r="N21" i="114"/>
  <c r="M21" i="114"/>
  <c r="C21" i="114"/>
  <c r="R21" i="114" s="1"/>
  <c r="S21" i="114" s="1"/>
  <c r="P20" i="114"/>
  <c r="O20" i="114"/>
  <c r="N20" i="114"/>
  <c r="M20" i="114"/>
  <c r="Q20" i="114" s="1"/>
  <c r="K20" i="114" s="1"/>
  <c r="C20" i="114"/>
  <c r="P19" i="114"/>
  <c r="O19" i="114"/>
  <c r="N19" i="114"/>
  <c r="M19" i="114"/>
  <c r="C19" i="114"/>
  <c r="P18" i="114"/>
  <c r="O18" i="114"/>
  <c r="M18" i="114"/>
  <c r="E18" i="114"/>
  <c r="N18" i="114" s="1"/>
  <c r="C18" i="114"/>
  <c r="P17" i="114"/>
  <c r="O17" i="114"/>
  <c r="M17" i="114"/>
  <c r="Q17" i="114" s="1"/>
  <c r="K17" i="114" s="1"/>
  <c r="E17" i="114"/>
  <c r="N17" i="114" s="1"/>
  <c r="C17" i="114"/>
  <c r="P16" i="114"/>
  <c r="O16" i="114"/>
  <c r="M16" i="114"/>
  <c r="E16" i="114"/>
  <c r="N16" i="114" s="1"/>
  <c r="C16" i="114"/>
  <c r="P15" i="114"/>
  <c r="O15" i="114"/>
  <c r="N15" i="114"/>
  <c r="R15" i="114" s="1"/>
  <c r="L15" i="114" s="1"/>
  <c r="M15" i="114"/>
  <c r="P14" i="114"/>
  <c r="O14" i="114"/>
  <c r="N14" i="114"/>
  <c r="M14" i="114"/>
  <c r="P13" i="114"/>
  <c r="O13" i="114"/>
  <c r="N13" i="114"/>
  <c r="M13" i="114"/>
  <c r="P12" i="114"/>
  <c r="O12" i="114"/>
  <c r="N12" i="114"/>
  <c r="M12" i="114"/>
  <c r="C12" i="114"/>
  <c r="P11" i="114"/>
  <c r="O11" i="114"/>
  <c r="N11" i="114"/>
  <c r="M11" i="114"/>
  <c r="C11" i="114"/>
  <c r="P10" i="114"/>
  <c r="O10" i="114"/>
  <c r="N10" i="114"/>
  <c r="M10" i="114"/>
  <c r="C10" i="114"/>
  <c r="R10" i="114" s="1"/>
  <c r="L10" i="114" s="1"/>
  <c r="C26" i="114"/>
  <c r="C27" i="114"/>
  <c r="C31" i="114"/>
  <c r="C32" i="114"/>
  <c r="C33" i="114"/>
  <c r="C34" i="114"/>
  <c r="C35" i="114"/>
  <c r="C36" i="114"/>
  <c r="C25" i="114"/>
  <c r="M34" i="114"/>
  <c r="N34" i="114"/>
  <c r="O34" i="114"/>
  <c r="P34" i="114"/>
  <c r="M35" i="114"/>
  <c r="N35" i="114"/>
  <c r="O35" i="114"/>
  <c r="P35" i="114"/>
  <c r="M36" i="114"/>
  <c r="N36" i="114"/>
  <c r="O36" i="114"/>
  <c r="P36" i="114"/>
  <c r="M31" i="114"/>
  <c r="O31" i="114"/>
  <c r="P31" i="114"/>
  <c r="M32" i="114"/>
  <c r="O32" i="114"/>
  <c r="P32" i="114"/>
  <c r="M33" i="114"/>
  <c r="O33" i="114"/>
  <c r="P33" i="114"/>
  <c r="E33" i="114"/>
  <c r="N33" i="114" s="1"/>
  <c r="E32" i="114"/>
  <c r="N32" i="114" s="1"/>
  <c r="Q32" i="114" s="1"/>
  <c r="K32" i="114" s="1"/>
  <c r="E31" i="114"/>
  <c r="N31" i="114" s="1"/>
  <c r="M28" i="114"/>
  <c r="O28" i="114"/>
  <c r="P28" i="114"/>
  <c r="M29" i="114"/>
  <c r="O29" i="114"/>
  <c r="P29" i="114"/>
  <c r="M30" i="114"/>
  <c r="O30" i="114"/>
  <c r="P30" i="114"/>
  <c r="N30" i="114"/>
  <c r="N29" i="114"/>
  <c r="N28" i="114"/>
  <c r="P27" i="114"/>
  <c r="O27" i="114"/>
  <c r="N27" i="114"/>
  <c r="M27" i="114"/>
  <c r="P26" i="114"/>
  <c r="O26" i="114"/>
  <c r="N26" i="114"/>
  <c r="M26" i="114"/>
  <c r="P25" i="114"/>
  <c r="O25" i="114"/>
  <c r="M25" i="114"/>
  <c r="N25" i="114"/>
  <c r="P87" i="114"/>
  <c r="Q87" i="114"/>
  <c r="R87" i="114"/>
  <c r="S87" i="114"/>
  <c r="P88" i="114"/>
  <c r="Q88" i="114"/>
  <c r="R88" i="114"/>
  <c r="S88" i="114"/>
  <c r="P89" i="114"/>
  <c r="Q89" i="114"/>
  <c r="R89" i="114"/>
  <c r="S89" i="114"/>
  <c r="P90" i="114"/>
  <c r="Q90" i="114"/>
  <c r="R90" i="114"/>
  <c r="S90" i="114"/>
  <c r="G83" i="114"/>
  <c r="Q83" i="114" s="1"/>
  <c r="G86" i="114"/>
  <c r="G85" i="114"/>
  <c r="S86" i="114"/>
  <c r="R86" i="114"/>
  <c r="P86" i="114"/>
  <c r="Q86" i="114"/>
  <c r="S85" i="114"/>
  <c r="R85" i="114"/>
  <c r="P85" i="114"/>
  <c r="Q85" i="114"/>
  <c r="U85" i="114" s="1"/>
  <c r="S84" i="114"/>
  <c r="R84" i="114"/>
  <c r="P84" i="114"/>
  <c r="G84" i="114"/>
  <c r="Q84" i="114" s="1"/>
  <c r="S83" i="114"/>
  <c r="R83" i="114"/>
  <c r="P83" i="114"/>
  <c r="S79" i="114"/>
  <c r="R79" i="114"/>
  <c r="P79" i="114"/>
  <c r="G79" i="114"/>
  <c r="Q79" i="114" s="1"/>
  <c r="S78" i="114"/>
  <c r="R78" i="114"/>
  <c r="P78" i="114"/>
  <c r="G78" i="114"/>
  <c r="Q78" i="114" s="1"/>
  <c r="S77" i="114"/>
  <c r="R77" i="114"/>
  <c r="P77" i="114"/>
  <c r="G77" i="114"/>
  <c r="Q77" i="114" s="1"/>
  <c r="G76" i="114"/>
  <c r="G75" i="114"/>
  <c r="Q75" i="114" s="1"/>
  <c r="U75" i="114" s="1"/>
  <c r="G74" i="114"/>
  <c r="G73" i="114"/>
  <c r="G72" i="114"/>
  <c r="G71" i="114"/>
  <c r="Q71" i="114" s="1"/>
  <c r="G70" i="114"/>
  <c r="G69" i="114"/>
  <c r="G68" i="114"/>
  <c r="G67" i="114"/>
  <c r="Q67" i="114" s="1"/>
  <c r="G66" i="114"/>
  <c r="G65" i="114"/>
  <c r="G64" i="114"/>
  <c r="Q64" i="114" s="1"/>
  <c r="G63" i="114"/>
  <c r="Q63" i="114" s="1"/>
  <c r="G62" i="114"/>
  <c r="Q62" i="114" s="1"/>
  <c r="G61" i="114"/>
  <c r="G60" i="114"/>
  <c r="Q60" i="114" s="1"/>
  <c r="S76" i="114"/>
  <c r="R76" i="114"/>
  <c r="P76" i="114"/>
  <c r="Q76" i="114"/>
  <c r="S75" i="114"/>
  <c r="R75" i="114"/>
  <c r="P75" i="114"/>
  <c r="S74" i="114"/>
  <c r="R74" i="114"/>
  <c r="Q74" i="114"/>
  <c r="P74" i="114"/>
  <c r="S73" i="114"/>
  <c r="R73" i="114"/>
  <c r="Q73" i="114"/>
  <c r="P73" i="114"/>
  <c r="U73" i="114" s="1"/>
  <c r="O73" i="114" s="1"/>
  <c r="S72" i="114"/>
  <c r="R72" i="114"/>
  <c r="P72" i="114"/>
  <c r="Q72" i="114"/>
  <c r="S71" i="114"/>
  <c r="R71" i="114"/>
  <c r="P71" i="114"/>
  <c r="S70" i="114"/>
  <c r="R70" i="114"/>
  <c r="Q70" i="114"/>
  <c r="P70" i="114"/>
  <c r="U70" i="114" s="1"/>
  <c r="S69" i="114"/>
  <c r="R69" i="114"/>
  <c r="Q69" i="114"/>
  <c r="P69" i="114"/>
  <c r="U69" i="114" s="1"/>
  <c r="O69" i="114" s="1"/>
  <c r="S68" i="114"/>
  <c r="R68" i="114"/>
  <c r="P68" i="114"/>
  <c r="Q68" i="114"/>
  <c r="S67" i="114"/>
  <c r="R67" i="114"/>
  <c r="P67" i="114"/>
  <c r="U67" i="114" s="1"/>
  <c r="S66" i="114"/>
  <c r="R66" i="114"/>
  <c r="Q66" i="114"/>
  <c r="P66" i="114"/>
  <c r="S65" i="114"/>
  <c r="R65" i="114"/>
  <c r="Q65" i="114"/>
  <c r="T65" i="114" s="1"/>
  <c r="W65" i="114" s="1"/>
  <c r="P65" i="114"/>
  <c r="S64" i="114"/>
  <c r="R64" i="114"/>
  <c r="P64" i="114"/>
  <c r="S63" i="114"/>
  <c r="R63" i="114"/>
  <c r="P63" i="114"/>
  <c r="S62" i="114"/>
  <c r="R62" i="114"/>
  <c r="P62" i="114"/>
  <c r="S61" i="114"/>
  <c r="R61" i="114"/>
  <c r="Q61" i="114"/>
  <c r="P61" i="114"/>
  <c r="S60" i="114"/>
  <c r="R60" i="114"/>
  <c r="P60" i="114"/>
  <c r="P45" i="114"/>
  <c r="O45" i="114"/>
  <c r="M45" i="114"/>
  <c r="E45" i="114"/>
  <c r="N45" i="114" s="1"/>
  <c r="P44" i="114"/>
  <c r="O44" i="114"/>
  <c r="M44" i="114"/>
  <c r="E44" i="114"/>
  <c r="N44" i="114" s="1"/>
  <c r="P42" i="114"/>
  <c r="O42" i="114"/>
  <c r="M42" i="114"/>
  <c r="E42" i="114"/>
  <c r="N42" i="114" s="1"/>
  <c r="C42" i="114"/>
  <c r="P41" i="114"/>
  <c r="O41" i="114"/>
  <c r="M41" i="114"/>
  <c r="E41" i="114"/>
  <c r="N41" i="114" s="1"/>
  <c r="C41" i="114"/>
  <c r="C40" i="114"/>
  <c r="O43" i="114"/>
  <c r="P40" i="114"/>
  <c r="P43" i="114"/>
  <c r="P46" i="114"/>
  <c r="P47" i="114"/>
  <c r="P48" i="114"/>
  <c r="P49" i="114"/>
  <c r="P50" i="114"/>
  <c r="P51" i="114"/>
  <c r="P52" i="114"/>
  <c r="P53" i="114"/>
  <c r="P54" i="114"/>
  <c r="P55" i="114"/>
  <c r="P56" i="114"/>
  <c r="O46" i="114"/>
  <c r="O47" i="114"/>
  <c r="O48" i="114"/>
  <c r="O49" i="114"/>
  <c r="O50" i="114"/>
  <c r="O51" i="114"/>
  <c r="O52" i="114"/>
  <c r="O53" i="114"/>
  <c r="O54" i="114"/>
  <c r="O55" i="114"/>
  <c r="O56" i="114"/>
  <c r="O40" i="114"/>
  <c r="M43" i="114"/>
  <c r="M46" i="114"/>
  <c r="M47" i="114"/>
  <c r="M48" i="114"/>
  <c r="M49" i="114"/>
  <c r="M50" i="114"/>
  <c r="M51" i="114"/>
  <c r="M52" i="114"/>
  <c r="M53" i="114"/>
  <c r="M54" i="114"/>
  <c r="M55" i="114"/>
  <c r="M56" i="114"/>
  <c r="M40" i="114"/>
  <c r="F36" i="25"/>
  <c r="E164" i="114"/>
  <c r="E163" i="114"/>
  <c r="E162" i="114"/>
  <c r="E161" i="114"/>
  <c r="E160" i="114"/>
  <c r="E159" i="114"/>
  <c r="E158" i="114"/>
  <c r="E157" i="114"/>
  <c r="E156" i="114"/>
  <c r="E155" i="114"/>
  <c r="E154" i="114"/>
  <c r="E153" i="114"/>
  <c r="E152" i="114"/>
  <c r="E151" i="114"/>
  <c r="E150" i="114"/>
  <c r="A172" i="114"/>
  <c r="A171" i="114"/>
  <c r="E56" i="114"/>
  <c r="N56" i="114" s="1"/>
  <c r="E55" i="114"/>
  <c r="N55" i="114" s="1"/>
  <c r="E54" i="114"/>
  <c r="N54" i="114" s="1"/>
  <c r="E53" i="114"/>
  <c r="N53" i="114" s="1"/>
  <c r="E52" i="114"/>
  <c r="N52" i="114" s="1"/>
  <c r="E51" i="114"/>
  <c r="N51" i="114" s="1"/>
  <c r="E49" i="114"/>
  <c r="N49" i="114" s="1"/>
  <c r="E48" i="114"/>
  <c r="N48" i="114" s="1"/>
  <c r="E47" i="114"/>
  <c r="N47" i="114" s="1"/>
  <c r="E46" i="114"/>
  <c r="N46" i="114" s="1"/>
  <c r="E40" i="114"/>
  <c r="N40" i="114" s="1"/>
  <c r="E50" i="114"/>
  <c r="N50" i="114" s="1"/>
  <c r="E43" i="114"/>
  <c r="N43" i="114" s="1"/>
  <c r="R32" i="114" l="1"/>
  <c r="S32" i="114" s="1"/>
  <c r="S15" i="114"/>
  <c r="R55" i="114"/>
  <c r="T61" i="114"/>
  <c r="U65" i="114"/>
  <c r="T66" i="114"/>
  <c r="T68" i="114"/>
  <c r="N68" i="114" s="1"/>
  <c r="T67" i="114"/>
  <c r="W67" i="114" s="1"/>
  <c r="T88" i="114"/>
  <c r="N88" i="114" s="1"/>
  <c r="Q12" i="114"/>
  <c r="K12" i="114" s="1"/>
  <c r="Q13" i="114"/>
  <c r="Q14" i="114"/>
  <c r="Q15" i="114"/>
  <c r="R16" i="114"/>
  <c r="Q18" i="114"/>
  <c r="Q19" i="114"/>
  <c r="R20" i="114"/>
  <c r="T20" i="114"/>
  <c r="U61" i="114"/>
  <c r="O61" i="114" s="1"/>
  <c r="T62" i="114"/>
  <c r="U63" i="114"/>
  <c r="T63" i="114"/>
  <c r="W63" i="114" s="1"/>
  <c r="Q28" i="114"/>
  <c r="T28" i="114" s="1"/>
  <c r="R36" i="114"/>
  <c r="L36" i="114" s="1"/>
  <c r="Q35" i="114"/>
  <c r="K35" i="114" s="1"/>
  <c r="Q34" i="114"/>
  <c r="Q10" i="114"/>
  <c r="K10" i="114" s="1"/>
  <c r="R11" i="114"/>
  <c r="L11" i="114" s="1"/>
  <c r="Q21" i="114"/>
  <c r="L21" i="114"/>
  <c r="R51" i="114"/>
  <c r="U60" i="114"/>
  <c r="T74" i="114"/>
  <c r="R26" i="114"/>
  <c r="Q29" i="114"/>
  <c r="K29" i="114" s="1"/>
  <c r="Q11" i="114"/>
  <c r="K11" i="114" s="1"/>
  <c r="R12" i="114"/>
  <c r="L12" i="114" s="1"/>
  <c r="R19" i="114"/>
  <c r="S22" i="118"/>
  <c r="R23" i="118"/>
  <c r="S10" i="114"/>
  <c r="R17" i="114"/>
  <c r="T11" i="114"/>
  <c r="S12" i="114"/>
  <c r="T12" i="114"/>
  <c r="S11" i="114"/>
  <c r="Q16" i="114"/>
  <c r="R18" i="114"/>
  <c r="R13" i="114"/>
  <c r="R14" i="114"/>
  <c r="V65" i="114"/>
  <c r="O65" i="114"/>
  <c r="W66" i="114"/>
  <c r="N66" i="114"/>
  <c r="Q30" i="114"/>
  <c r="K30" i="114" s="1"/>
  <c r="R30" i="114"/>
  <c r="O60" i="114"/>
  <c r="V60" i="114"/>
  <c r="V70" i="114"/>
  <c r="O70" i="114"/>
  <c r="W74" i="114"/>
  <c r="N74" i="114"/>
  <c r="V75" i="114"/>
  <c r="O75" i="114"/>
  <c r="K34" i="114"/>
  <c r="T34" i="114"/>
  <c r="N61" i="114"/>
  <c r="W61" i="114"/>
  <c r="V67" i="114"/>
  <c r="X67" i="114" s="1"/>
  <c r="O67" i="114"/>
  <c r="Q33" i="114"/>
  <c r="T33" i="114" s="1"/>
  <c r="R33" i="114"/>
  <c r="L33" i="114" s="1"/>
  <c r="N62" i="114"/>
  <c r="W62" i="114"/>
  <c r="V63" i="114"/>
  <c r="X63" i="114" s="1"/>
  <c r="O63" i="114"/>
  <c r="T64" i="114"/>
  <c r="X65" i="114"/>
  <c r="T75" i="114"/>
  <c r="N65" i="114"/>
  <c r="N63" i="114"/>
  <c r="U71" i="114"/>
  <c r="U76" i="114"/>
  <c r="T60" i="114"/>
  <c r="U74" i="114"/>
  <c r="U68" i="114"/>
  <c r="U66" i="114"/>
  <c r="U64" i="114"/>
  <c r="U62" i="114"/>
  <c r="V73" i="114"/>
  <c r="U84" i="114"/>
  <c r="Q36" i="114"/>
  <c r="K36" i="114" s="1"/>
  <c r="R34" i="114"/>
  <c r="S34" i="114" s="1"/>
  <c r="T70" i="114"/>
  <c r="V69" i="114"/>
  <c r="N67" i="114"/>
  <c r="Q41" i="114"/>
  <c r="T77" i="114"/>
  <c r="R28" i="114"/>
  <c r="S28" i="114" s="1"/>
  <c r="Q31" i="114"/>
  <c r="T31" i="114" s="1"/>
  <c r="R35" i="114"/>
  <c r="S35" i="114" s="1"/>
  <c r="T69" i="114"/>
  <c r="Q26" i="114"/>
  <c r="K26" i="114" s="1"/>
  <c r="R27" i="114"/>
  <c r="L27" i="114" s="1"/>
  <c r="R31" i="114"/>
  <c r="L31" i="114" s="1"/>
  <c r="T35" i="114"/>
  <c r="S36" i="114"/>
  <c r="K31" i="114"/>
  <c r="T32" i="114"/>
  <c r="U32" i="114" s="1"/>
  <c r="L32" i="114"/>
  <c r="T30" i="114"/>
  <c r="R29" i="114"/>
  <c r="S27" i="114"/>
  <c r="Q27" i="114"/>
  <c r="S26" i="114"/>
  <c r="L26" i="114"/>
  <c r="R25" i="114"/>
  <c r="L25" i="114" s="1"/>
  <c r="Q25" i="114"/>
  <c r="K25" i="114" s="1"/>
  <c r="U88" i="114"/>
  <c r="U89" i="114"/>
  <c r="O89" i="114" s="1"/>
  <c r="U87" i="114"/>
  <c r="O87" i="114" s="1"/>
  <c r="U90" i="114"/>
  <c r="O90" i="114" s="1"/>
  <c r="T90" i="114"/>
  <c r="W90" i="114" s="1"/>
  <c r="T87" i="114"/>
  <c r="N87" i="114" s="1"/>
  <c r="T89" i="114"/>
  <c r="N89" i="114" s="1"/>
  <c r="V88" i="114"/>
  <c r="O88" i="114"/>
  <c r="W88" i="114"/>
  <c r="U86" i="114"/>
  <c r="O86" i="114" s="1"/>
  <c r="T85" i="114"/>
  <c r="N85" i="114" s="1"/>
  <c r="V85" i="114"/>
  <c r="O85" i="114"/>
  <c r="T86" i="114"/>
  <c r="V84" i="114"/>
  <c r="O84" i="114"/>
  <c r="T84" i="114"/>
  <c r="U83" i="114"/>
  <c r="T83" i="114"/>
  <c r="N83" i="114" s="1"/>
  <c r="U78" i="114"/>
  <c r="T79" i="114"/>
  <c r="T78" i="114"/>
  <c r="U77" i="114"/>
  <c r="U79" i="114"/>
  <c r="T76" i="114"/>
  <c r="T73" i="114"/>
  <c r="T72" i="114"/>
  <c r="U72" i="114"/>
  <c r="T71" i="114"/>
  <c r="R47" i="114"/>
  <c r="R46" i="114"/>
  <c r="R56" i="114"/>
  <c r="R54" i="114"/>
  <c r="R50" i="114"/>
  <c r="R40" i="114"/>
  <c r="Q42" i="114"/>
  <c r="R44" i="114"/>
  <c r="L44" i="114" s="1"/>
  <c r="R48" i="114"/>
  <c r="R42" i="114"/>
  <c r="S42" i="114" s="1"/>
  <c r="R52" i="114"/>
  <c r="Q40" i="114"/>
  <c r="R53" i="114"/>
  <c r="R49" i="114"/>
  <c r="R43" i="114"/>
  <c r="S43" i="114" s="1"/>
  <c r="R41" i="114"/>
  <c r="R45" i="114"/>
  <c r="S45" i="114" s="1"/>
  <c r="Q55" i="114"/>
  <c r="Q53" i="114"/>
  <c r="Q51" i="114"/>
  <c r="Q49" i="114"/>
  <c r="Q47" i="114"/>
  <c r="Q45" i="114"/>
  <c r="Q43" i="114"/>
  <c r="Q56" i="114"/>
  <c r="Q54" i="114"/>
  <c r="Q52" i="114"/>
  <c r="Q50" i="114"/>
  <c r="Q48" i="114"/>
  <c r="Q46" i="114"/>
  <c r="Q44" i="114"/>
  <c r="T44" i="114" s="1"/>
  <c r="S44" i="114"/>
  <c r="L45" i="114"/>
  <c r="N31" i="113"/>
  <c r="N20" i="113"/>
  <c r="N18" i="113"/>
  <c r="O18" i="113" s="1"/>
  <c r="N25" i="113"/>
  <c r="N9" i="113"/>
  <c r="N21" i="113"/>
  <c r="N10" i="113"/>
  <c r="O10" i="113" s="1"/>
  <c r="N19" i="113"/>
  <c r="O19" i="113" s="1"/>
  <c r="M14" i="113"/>
  <c r="P14" i="113" s="1"/>
  <c r="N15" i="113"/>
  <c r="O15" i="113" s="1"/>
  <c r="N30" i="113"/>
  <c r="N7" i="113"/>
  <c r="N22" i="113"/>
  <c r="O22" i="113" s="1"/>
  <c r="N8" i="113"/>
  <c r="O8" i="113" s="1"/>
  <c r="N16" i="113"/>
  <c r="N11" i="113"/>
  <c r="N24" i="113"/>
  <c r="O24" i="113" s="1"/>
  <c r="N12" i="113"/>
  <c r="O12" i="113" s="1"/>
  <c r="Z22" i="107"/>
  <c r="S12" i="107"/>
  <c r="P44" i="113"/>
  <c r="O44" i="113"/>
  <c r="P83" i="108"/>
  <c r="O83" i="108"/>
  <c r="S19" i="107"/>
  <c r="F17" i="112"/>
  <c r="G17" i="112"/>
  <c r="H17" i="112"/>
  <c r="I17" i="112"/>
  <c r="J17" i="112"/>
  <c r="K17" i="112"/>
  <c r="L17" i="112"/>
  <c r="M17" i="112"/>
  <c r="N17" i="112"/>
  <c r="O17" i="112"/>
  <c r="P17" i="112"/>
  <c r="Q17" i="112"/>
  <c r="R17" i="112"/>
  <c r="S17" i="112"/>
  <c r="D17" i="118" s="1"/>
  <c r="C17" i="118" s="1"/>
  <c r="F30" i="119" s="1"/>
  <c r="E17" i="112"/>
  <c r="D17" i="112"/>
  <c r="F15" i="112"/>
  <c r="G15" i="112" s="1"/>
  <c r="H15" i="112" s="1"/>
  <c r="I15" i="112" s="1"/>
  <c r="J15" i="112" s="1"/>
  <c r="K15" i="112" s="1"/>
  <c r="P50" i="113"/>
  <c r="O50" i="113"/>
  <c r="P22" i="113"/>
  <c r="P18" i="113"/>
  <c r="P56" i="113"/>
  <c r="O56" i="113"/>
  <c r="P26" i="113"/>
  <c r="O26" i="113"/>
  <c r="P6" i="113"/>
  <c r="O6" i="113"/>
  <c r="P7" i="113"/>
  <c r="O7" i="113"/>
  <c r="P8" i="113"/>
  <c r="P17" i="113"/>
  <c r="O17" i="113"/>
  <c r="P9" i="113"/>
  <c r="O9" i="113"/>
  <c r="P21" i="113"/>
  <c r="O21" i="113"/>
  <c r="P10" i="113"/>
  <c r="P33" i="113"/>
  <c r="O33" i="113"/>
  <c r="P19" i="113"/>
  <c r="P13" i="113"/>
  <c r="O13" i="113"/>
  <c r="P24" i="113"/>
  <c r="P20" i="113"/>
  <c r="O20" i="113"/>
  <c r="P34" i="113"/>
  <c r="O34" i="113"/>
  <c r="P32" i="113"/>
  <c r="O32" i="113"/>
  <c r="P25" i="113"/>
  <c r="O25" i="113"/>
  <c r="P30" i="113"/>
  <c r="O30" i="113"/>
  <c r="P31" i="113"/>
  <c r="O31" i="113"/>
  <c r="P35" i="113"/>
  <c r="O35" i="113"/>
  <c r="P11" i="113"/>
  <c r="O11" i="113"/>
  <c r="P15" i="113"/>
  <c r="P23" i="113"/>
  <c r="O23" i="113"/>
  <c r="P12" i="113"/>
  <c r="P27" i="113"/>
  <c r="O27" i="113"/>
  <c r="P28" i="113"/>
  <c r="O28" i="113"/>
  <c r="P16" i="113"/>
  <c r="O16" i="113"/>
  <c r="O55" i="113"/>
  <c r="P54" i="113"/>
  <c r="O54" i="113"/>
  <c r="P53" i="113"/>
  <c r="O53" i="113"/>
  <c r="P51" i="113"/>
  <c r="O51" i="113"/>
  <c r="P52" i="113"/>
  <c r="O52" i="113"/>
  <c r="P36" i="113"/>
  <c r="O36" i="113"/>
  <c r="P29" i="113"/>
  <c r="O29" i="113"/>
  <c r="F21" i="113"/>
  <c r="P49" i="113"/>
  <c r="O49" i="113"/>
  <c r="P37" i="113"/>
  <c r="O37" i="113"/>
  <c r="P48" i="113"/>
  <c r="O48" i="113"/>
  <c r="P47" i="113"/>
  <c r="O47" i="113"/>
  <c r="P46" i="113"/>
  <c r="O46" i="113"/>
  <c r="P45" i="113"/>
  <c r="O45" i="113"/>
  <c r="F13" i="113"/>
  <c r="P38" i="113"/>
  <c r="O38" i="113"/>
  <c r="C12" i="113"/>
  <c r="P42" i="113"/>
  <c r="O42" i="113"/>
  <c r="P41" i="113"/>
  <c r="O41" i="113"/>
  <c r="C14" i="113"/>
  <c r="P39" i="113"/>
  <c r="O39" i="113"/>
  <c r="D30" i="112"/>
  <c r="S29" i="112"/>
  <c r="R29" i="112"/>
  <c r="Q29" i="112"/>
  <c r="P29" i="112"/>
  <c r="O29" i="112"/>
  <c r="N29" i="112"/>
  <c r="M29" i="112"/>
  <c r="L29" i="112"/>
  <c r="K29" i="112"/>
  <c r="J29" i="112"/>
  <c r="I29" i="112"/>
  <c r="H29" i="112"/>
  <c r="G29" i="112"/>
  <c r="D29" i="112"/>
  <c r="R26" i="112"/>
  <c r="P26" i="112"/>
  <c r="O26" i="112"/>
  <c r="N26" i="112"/>
  <c r="L26" i="112"/>
  <c r="J26" i="112"/>
  <c r="G26" i="112"/>
  <c r="E26" i="112"/>
  <c r="D26" i="112"/>
  <c r="E22" i="112"/>
  <c r="E30" i="112" s="1"/>
  <c r="B22" i="112"/>
  <c r="C20" i="112"/>
  <c r="E18" i="112"/>
  <c r="F18" i="112" s="1"/>
  <c r="G18" i="112" s="1"/>
  <c r="H18" i="112" s="1"/>
  <c r="I18" i="112" s="1"/>
  <c r="J18" i="112" s="1"/>
  <c r="K18" i="112" s="1"/>
  <c r="L18" i="112" s="1"/>
  <c r="M18" i="112" s="1"/>
  <c r="N18" i="112" s="1"/>
  <c r="O18" i="112" s="1"/>
  <c r="P18" i="112" s="1"/>
  <c r="Q18" i="112" s="1"/>
  <c r="R18" i="112" s="1"/>
  <c r="S18" i="112" s="1"/>
  <c r="B18" i="112"/>
  <c r="B17" i="112"/>
  <c r="C16" i="112"/>
  <c r="B15" i="112"/>
  <c r="B14" i="112"/>
  <c r="P13" i="112"/>
  <c r="O13" i="112"/>
  <c r="N13" i="112"/>
  <c r="L13" i="112"/>
  <c r="K13" i="112"/>
  <c r="J13" i="112"/>
  <c r="H13" i="112"/>
  <c r="G13" i="112"/>
  <c r="D13" i="112"/>
  <c r="C12" i="112"/>
  <c r="C10" i="112"/>
  <c r="C9" i="112"/>
  <c r="F29" i="112"/>
  <c r="E29" i="112"/>
  <c r="C8" i="112"/>
  <c r="Q26" i="112"/>
  <c r="C7" i="112"/>
  <c r="R13" i="112"/>
  <c r="M26" i="112"/>
  <c r="K26" i="112"/>
  <c r="I26" i="112"/>
  <c r="H26" i="112"/>
  <c r="F13" i="112"/>
  <c r="P82" i="108"/>
  <c r="O82" i="108"/>
  <c r="N10" i="108"/>
  <c r="P81" i="108"/>
  <c r="O81" i="108"/>
  <c r="R19" i="107"/>
  <c r="R6" i="107"/>
  <c r="P80" i="108"/>
  <c r="O80" i="108"/>
  <c r="P79" i="108"/>
  <c r="O79" i="108"/>
  <c r="P58" i="108"/>
  <c r="O58" i="108"/>
  <c r="P57" i="108"/>
  <c r="O57" i="108"/>
  <c r="P63" i="108"/>
  <c r="O63" i="108"/>
  <c r="P54" i="108"/>
  <c r="O54" i="108"/>
  <c r="P68" i="108"/>
  <c r="O68" i="108"/>
  <c r="Q19" i="107"/>
  <c r="P47" i="108"/>
  <c r="O47" i="108"/>
  <c r="P33" i="108"/>
  <c r="O33" i="108"/>
  <c r="P60" i="108"/>
  <c r="O60" i="108"/>
  <c r="P59" i="108"/>
  <c r="O59" i="108"/>
  <c r="P67" i="108"/>
  <c r="O67" i="108"/>
  <c r="P46" i="108"/>
  <c r="O46" i="108"/>
  <c r="P66" i="108"/>
  <c r="O66" i="108"/>
  <c r="P34" i="108"/>
  <c r="O34" i="108"/>
  <c r="P72" i="108"/>
  <c r="O72" i="108"/>
  <c r="P65" i="108"/>
  <c r="O65" i="108"/>
  <c r="P32" i="108"/>
  <c r="O32" i="108"/>
  <c r="P21" i="108"/>
  <c r="O21" i="108"/>
  <c r="P22" i="108"/>
  <c r="O22" i="108"/>
  <c r="P45" i="108"/>
  <c r="O45" i="108"/>
  <c r="P64" i="108"/>
  <c r="O64" i="108"/>
  <c r="P48" i="108"/>
  <c r="O48" i="108"/>
  <c r="P44" i="108"/>
  <c r="O44" i="108"/>
  <c r="P43" i="108"/>
  <c r="O43" i="108"/>
  <c r="P53" i="108"/>
  <c r="O53" i="108"/>
  <c r="P41" i="108"/>
  <c r="O41" i="108"/>
  <c r="P35" i="108"/>
  <c r="O35" i="108"/>
  <c r="N6" i="108"/>
  <c r="Q7" i="107"/>
  <c r="P16" i="108"/>
  <c r="O16" i="108"/>
  <c r="N9" i="108"/>
  <c r="P26" i="108"/>
  <c r="O26" i="108"/>
  <c r="N20" i="108"/>
  <c r="P73" i="108"/>
  <c r="O73" i="108"/>
  <c r="P75" i="108"/>
  <c r="O75" i="108"/>
  <c r="N37" i="108"/>
  <c r="N49" i="108"/>
  <c r="N17" i="108"/>
  <c r="M6" i="107"/>
  <c r="N50" i="108"/>
  <c r="N70" i="108"/>
  <c r="E2" i="110"/>
  <c r="E3" i="110" s="1"/>
  <c r="E4" i="110" s="1"/>
  <c r="E5" i="110" s="1"/>
  <c r="E6" i="110" s="1"/>
  <c r="E7" i="110" s="1"/>
  <c r="E8" i="110" s="1"/>
  <c r="E9" i="110" s="1"/>
  <c r="C2" i="110"/>
  <c r="C3" i="110" s="1"/>
  <c r="C4" i="110" s="1"/>
  <c r="C5" i="110" s="1"/>
  <c r="C6" i="110" s="1"/>
  <c r="C7" i="110" s="1"/>
  <c r="C8" i="110" s="1"/>
  <c r="C9" i="110" s="1"/>
  <c r="H8" i="110"/>
  <c r="H7" i="110"/>
  <c r="H6" i="110"/>
  <c r="H5" i="110"/>
  <c r="H4" i="110"/>
  <c r="F2" i="110"/>
  <c r="H3" i="110"/>
  <c r="H2" i="110"/>
  <c r="I2" i="110"/>
  <c r="N78" i="108"/>
  <c r="O78" i="108" s="1"/>
  <c r="P78" i="108"/>
  <c r="P30" i="108"/>
  <c r="O30" i="108"/>
  <c r="N38" i="108"/>
  <c r="K6" i="107"/>
  <c r="N42" i="108"/>
  <c r="AE9" i="11"/>
  <c r="AE11" i="11"/>
  <c r="AI10" i="11"/>
  <c r="AE8" i="11"/>
  <c r="AE7" i="11"/>
  <c r="AE6" i="11"/>
  <c r="AE5" i="11"/>
  <c r="AD4" i="11"/>
  <c r="P13" i="108"/>
  <c r="O13" i="108"/>
  <c r="N25" i="108"/>
  <c r="N23" i="108"/>
  <c r="N55" i="108"/>
  <c r="I6" i="107"/>
  <c r="AD5" i="11" l="1"/>
  <c r="AD6" i="11" s="1"/>
  <c r="AD7" i="11" s="1"/>
  <c r="AD8" i="11" s="1"/>
  <c r="AD9" i="11" s="1"/>
  <c r="AD10" i="11" s="1"/>
  <c r="AD11" i="11" s="1"/>
  <c r="S14" i="114"/>
  <c r="L14" i="114"/>
  <c r="K13" i="114"/>
  <c r="T13" i="114"/>
  <c r="K28" i="114"/>
  <c r="U28" i="114"/>
  <c r="V61" i="114"/>
  <c r="W68" i="114"/>
  <c r="X68" i="114" s="1"/>
  <c r="T16" i="114"/>
  <c r="K16" i="114"/>
  <c r="K19" i="114"/>
  <c r="T19" i="114"/>
  <c r="U19" i="114" s="1"/>
  <c r="T14" i="114"/>
  <c r="K14" i="114"/>
  <c r="T18" i="114"/>
  <c r="K18" i="114"/>
  <c r="L15" i="112"/>
  <c r="M15" i="112" s="1"/>
  <c r="N15" i="112" s="1"/>
  <c r="O15" i="112" s="1"/>
  <c r="P15" i="112" s="1"/>
  <c r="Q15" i="112" s="1"/>
  <c r="R15" i="112" s="1"/>
  <c r="S15" i="112" s="1"/>
  <c r="D15" i="118" s="1"/>
  <c r="T29" i="114"/>
  <c r="U34" i="114"/>
  <c r="L13" i="114"/>
  <c r="S13" i="114"/>
  <c r="S7" i="114" s="1"/>
  <c r="L19" i="114"/>
  <c r="S19" i="114"/>
  <c r="S16" i="114"/>
  <c r="L16" i="114"/>
  <c r="N14" i="113"/>
  <c r="O14" i="113" s="1"/>
  <c r="V86" i="114"/>
  <c r="V90" i="114"/>
  <c r="T26" i="114"/>
  <c r="S18" i="114"/>
  <c r="L18" i="114"/>
  <c r="T10" i="114"/>
  <c r="L17" i="114"/>
  <c r="S17" i="114"/>
  <c r="K21" i="114"/>
  <c r="T21" i="114"/>
  <c r="U21" i="114" s="1"/>
  <c r="S20" i="114"/>
  <c r="L20" i="114"/>
  <c r="K15" i="114"/>
  <c r="T15" i="114"/>
  <c r="C24" i="113"/>
  <c r="F25" i="113"/>
  <c r="C27" i="113"/>
  <c r="C26" i="113"/>
  <c r="S23" i="118"/>
  <c r="C22" i="118"/>
  <c r="F33" i="119" s="1"/>
  <c r="D22" i="29"/>
  <c r="D26" i="29" s="1"/>
  <c r="D23" i="29"/>
  <c r="D27" i="29" s="1"/>
  <c r="D25" i="29"/>
  <c r="D29" i="29" s="1"/>
  <c r="T6" i="113"/>
  <c r="Q6" i="113"/>
  <c r="T26" i="113"/>
  <c r="Q26" i="113"/>
  <c r="I3" i="110"/>
  <c r="I4" i="110" s="1"/>
  <c r="I5" i="110" s="1"/>
  <c r="I6" i="110" s="1"/>
  <c r="I7" i="110" s="1"/>
  <c r="I8" i="110" s="1"/>
  <c r="T17" i="113"/>
  <c r="Q17" i="113"/>
  <c r="Q35" i="113"/>
  <c r="T35" i="113"/>
  <c r="T32" i="113"/>
  <c r="Q32" i="113"/>
  <c r="T38" i="113"/>
  <c r="Q38" i="113"/>
  <c r="Q29" i="113"/>
  <c r="T29" i="113"/>
  <c r="Q34" i="113"/>
  <c r="T34" i="113"/>
  <c r="Q33" i="113"/>
  <c r="T33" i="113"/>
  <c r="Q37" i="113"/>
  <c r="T37" i="113"/>
  <c r="T16" i="113"/>
  <c r="Q16" i="113"/>
  <c r="T27" i="113"/>
  <c r="Q27" i="113"/>
  <c r="Q23" i="113"/>
  <c r="T23" i="113"/>
  <c r="Q13" i="113"/>
  <c r="T13" i="113"/>
  <c r="T9" i="113"/>
  <c r="Q9" i="113"/>
  <c r="T24" i="113"/>
  <c r="Q24" i="113"/>
  <c r="T22" i="113"/>
  <c r="Q22" i="113"/>
  <c r="T11" i="113"/>
  <c r="Q11" i="113"/>
  <c r="T31" i="113"/>
  <c r="Q31" i="113"/>
  <c r="T25" i="113"/>
  <c r="Q25" i="113"/>
  <c r="T14" i="113"/>
  <c r="Q14" i="113"/>
  <c r="T8" i="113"/>
  <c r="Q8" i="113"/>
  <c r="T15" i="113"/>
  <c r="Q15" i="113"/>
  <c r="T10" i="113"/>
  <c r="Q10" i="113"/>
  <c r="T28" i="113"/>
  <c r="Q28" i="113"/>
  <c r="T12" i="113"/>
  <c r="Q12" i="113"/>
  <c r="T21" i="113"/>
  <c r="Q21" i="113"/>
  <c r="T19" i="113"/>
  <c r="Q19" i="113"/>
  <c r="T36" i="113"/>
  <c r="Q36" i="113"/>
  <c r="T30" i="113"/>
  <c r="Q30" i="113"/>
  <c r="T20" i="113"/>
  <c r="Q20" i="113"/>
  <c r="T7" i="113"/>
  <c r="Q7" i="113"/>
  <c r="T18" i="113"/>
  <c r="Q18" i="113"/>
  <c r="U15" i="114"/>
  <c r="U11" i="114"/>
  <c r="S31" i="114"/>
  <c r="U12" i="114"/>
  <c r="U17" i="114"/>
  <c r="U13" i="114"/>
  <c r="U20" i="114"/>
  <c r="K33" i="114"/>
  <c r="L35" i="114"/>
  <c r="U10" i="114"/>
  <c r="U18" i="114"/>
  <c r="U16" i="114"/>
  <c r="S33" i="114"/>
  <c r="U14" i="114"/>
  <c r="L28" i="114"/>
  <c r="T36" i="114"/>
  <c r="U36" i="114" s="1"/>
  <c r="L34" i="114"/>
  <c r="N72" i="114"/>
  <c r="W72" i="114"/>
  <c r="W69" i="114"/>
  <c r="X69" i="114" s="1"/>
  <c r="N69" i="114"/>
  <c r="W73" i="114"/>
  <c r="X73" i="114" s="1"/>
  <c r="N73" i="114"/>
  <c r="N78" i="114"/>
  <c r="W78" i="114"/>
  <c r="V62" i="114"/>
  <c r="O62" i="114"/>
  <c r="V74" i="114"/>
  <c r="O74" i="114"/>
  <c r="W64" i="114"/>
  <c r="N64" i="114"/>
  <c r="U44" i="114"/>
  <c r="X61" i="114"/>
  <c r="W71" i="114"/>
  <c r="N71" i="114"/>
  <c r="O77" i="114"/>
  <c r="V77" i="114"/>
  <c r="N77" i="114"/>
  <c r="W77" i="114"/>
  <c r="V68" i="114"/>
  <c r="O68" i="114"/>
  <c r="L30" i="114"/>
  <c r="S30" i="114"/>
  <c r="U30" i="114" s="1"/>
  <c r="V72" i="114"/>
  <c r="O72" i="114"/>
  <c r="O79" i="114"/>
  <c r="V79" i="114"/>
  <c r="O78" i="114"/>
  <c r="V78" i="114"/>
  <c r="V66" i="114"/>
  <c r="O66" i="114"/>
  <c r="O76" i="114"/>
  <c r="V76" i="114"/>
  <c r="X76" i="114" s="1"/>
  <c r="N75" i="114"/>
  <c r="W75" i="114"/>
  <c r="X75" i="114" s="1"/>
  <c r="X74" i="114"/>
  <c r="X66" i="114"/>
  <c r="N70" i="114"/>
  <c r="W70" i="114"/>
  <c r="X70" i="114" s="1"/>
  <c r="O71" i="114"/>
  <c r="V71" i="114"/>
  <c r="N76" i="114"/>
  <c r="W76" i="114"/>
  <c r="N79" i="114"/>
  <c r="W79" i="114"/>
  <c r="X79" i="114" s="1"/>
  <c r="V64" i="114"/>
  <c r="O64" i="114"/>
  <c r="N60" i="114"/>
  <c r="W60" i="114"/>
  <c r="U35" i="114"/>
  <c r="U31" i="114"/>
  <c r="U33" i="114"/>
  <c r="S29" i="114"/>
  <c r="L29" i="114"/>
  <c r="K27" i="114"/>
  <c r="T27" i="114"/>
  <c r="U27" i="114" s="1"/>
  <c r="U26" i="114"/>
  <c r="T25" i="114"/>
  <c r="S25" i="114"/>
  <c r="S22" i="114" s="1"/>
  <c r="V89" i="114"/>
  <c r="N90" i="114"/>
  <c r="X88" i="114"/>
  <c r="V87" i="114"/>
  <c r="W87" i="114"/>
  <c r="W89" i="114"/>
  <c r="X90" i="114"/>
  <c r="V83" i="114"/>
  <c r="O83" i="114"/>
  <c r="W85" i="114"/>
  <c r="N86" i="114"/>
  <c r="W86" i="114"/>
  <c r="X86" i="114" s="1"/>
  <c r="X85" i="114"/>
  <c r="N84" i="114"/>
  <c r="W84" i="114"/>
  <c r="X84" i="114" s="1"/>
  <c r="W83" i="114"/>
  <c r="L42" i="114"/>
  <c r="K44" i="114"/>
  <c r="K52" i="114"/>
  <c r="T52" i="114"/>
  <c r="T55" i="114"/>
  <c r="K55" i="114"/>
  <c r="L56" i="114"/>
  <c r="S56" i="114"/>
  <c r="T42" i="114"/>
  <c r="U42" i="114" s="1"/>
  <c r="K42" i="114"/>
  <c r="L54" i="114"/>
  <c r="S54" i="114"/>
  <c r="L50" i="114"/>
  <c r="S50" i="114"/>
  <c r="K50" i="114"/>
  <c r="T50" i="114"/>
  <c r="U50" i="114" s="1"/>
  <c r="T53" i="114"/>
  <c r="K53" i="114"/>
  <c r="L52" i="114"/>
  <c r="S52" i="114"/>
  <c r="S55" i="114"/>
  <c r="L55" i="114"/>
  <c r="S46" i="114"/>
  <c r="L46" i="114"/>
  <c r="T41" i="114"/>
  <c r="K41" i="114"/>
  <c r="K40" i="114"/>
  <c r="T40" i="114"/>
  <c r="K48" i="114"/>
  <c r="T48" i="114"/>
  <c r="K56" i="114"/>
  <c r="T56" i="114"/>
  <c r="U56" i="114" s="1"/>
  <c r="T51" i="114"/>
  <c r="K51" i="114"/>
  <c r="L48" i="114"/>
  <c r="S48" i="114"/>
  <c r="S51" i="114"/>
  <c r="L51" i="114"/>
  <c r="T45" i="114"/>
  <c r="U45" i="114" s="1"/>
  <c r="K45" i="114"/>
  <c r="L53" i="114"/>
  <c r="S53" i="114"/>
  <c r="K54" i="114"/>
  <c r="T54" i="114"/>
  <c r="U54" i="114" s="1"/>
  <c r="T49" i="114"/>
  <c r="K49" i="114"/>
  <c r="L40" i="114"/>
  <c r="S40" i="114"/>
  <c r="S41" i="114"/>
  <c r="L41" i="114"/>
  <c r="L49" i="114"/>
  <c r="S49" i="114"/>
  <c r="L43" i="114"/>
  <c r="T46" i="114"/>
  <c r="K46" i="114"/>
  <c r="L47" i="114"/>
  <c r="S47" i="114"/>
  <c r="K47" i="114"/>
  <c r="T47" i="114"/>
  <c r="K43" i="114"/>
  <c r="T43" i="114"/>
  <c r="U43" i="114" s="1"/>
  <c r="C18" i="113"/>
  <c r="C15" i="113"/>
  <c r="F24" i="113"/>
  <c r="F23" i="113" s="1"/>
  <c r="E31" i="112"/>
  <c r="F22" i="112"/>
  <c r="G22" i="112" s="1"/>
  <c r="H22" i="112" s="1"/>
  <c r="I22" i="112" s="1"/>
  <c r="J22" i="112" s="1"/>
  <c r="K22" i="112" s="1"/>
  <c r="L22" i="112" s="1"/>
  <c r="M22" i="112" s="1"/>
  <c r="N22" i="112" s="1"/>
  <c r="O22" i="112" s="1"/>
  <c r="P22" i="112" s="1"/>
  <c r="Q22" i="112" s="1"/>
  <c r="R22" i="112" s="1"/>
  <c r="S22" i="112" s="1"/>
  <c r="E27" i="112"/>
  <c r="E28" i="112" s="1"/>
  <c r="C13" i="113"/>
  <c r="C19" i="113"/>
  <c r="F14" i="113"/>
  <c r="D31" i="112"/>
  <c r="C29" i="112"/>
  <c r="F16" i="113"/>
  <c r="F12" i="113"/>
  <c r="E13" i="112"/>
  <c r="I13" i="112"/>
  <c r="M13" i="112"/>
  <c r="Q13" i="112"/>
  <c r="C18" i="112"/>
  <c r="C19" i="112"/>
  <c r="E23" i="112"/>
  <c r="C6" i="112"/>
  <c r="C21" i="112"/>
  <c r="D23" i="112"/>
  <c r="F26" i="112"/>
  <c r="D27" i="112"/>
  <c r="D28" i="112" s="1"/>
  <c r="AE12" i="11"/>
  <c r="AE13" i="11" s="1"/>
  <c r="AE14" i="11" s="1"/>
  <c r="AE15" i="11" s="1"/>
  <c r="AE16" i="11" s="1"/>
  <c r="AE17" i="11" s="1"/>
  <c r="AE18" i="11" s="1"/>
  <c r="F119" i="53"/>
  <c r="F118" i="53"/>
  <c r="F117" i="53"/>
  <c r="F116" i="53"/>
  <c r="F115" i="53"/>
  <c r="F114" i="53"/>
  <c r="F113" i="53"/>
  <c r="F112" i="53"/>
  <c r="F111" i="53"/>
  <c r="F110" i="53"/>
  <c r="F109" i="53"/>
  <c r="F108" i="53"/>
  <c r="F107" i="53"/>
  <c r="F106" i="53"/>
  <c r="F105" i="53"/>
  <c r="F104" i="53"/>
  <c r="F103" i="53"/>
  <c r="F102" i="53"/>
  <c r="F101" i="53"/>
  <c r="F100" i="53"/>
  <c r="F99" i="53"/>
  <c r="F98" i="53"/>
  <c r="F97" i="53"/>
  <c r="F96" i="53"/>
  <c r="F95" i="53"/>
  <c r="F94" i="53"/>
  <c r="F93" i="53"/>
  <c r="F92" i="53"/>
  <c r="F91" i="53"/>
  <c r="F90" i="53"/>
  <c r="F89" i="53"/>
  <c r="F88" i="53"/>
  <c r="F87" i="53"/>
  <c r="F86" i="53"/>
  <c r="F85" i="53"/>
  <c r="F84" i="53"/>
  <c r="F83" i="53"/>
  <c r="F82" i="53"/>
  <c r="C119" i="53"/>
  <c r="C118" i="53"/>
  <c r="C117" i="53"/>
  <c r="C116" i="53"/>
  <c r="C115" i="53"/>
  <c r="C114" i="53"/>
  <c r="C113" i="53"/>
  <c r="C112" i="53"/>
  <c r="C111" i="53"/>
  <c r="C110" i="53"/>
  <c r="C109" i="53"/>
  <c r="C108" i="53"/>
  <c r="C107" i="53"/>
  <c r="C106" i="53"/>
  <c r="C105" i="53"/>
  <c r="C104" i="53"/>
  <c r="C103" i="53"/>
  <c r="C102" i="53"/>
  <c r="C101" i="53"/>
  <c r="C100" i="53"/>
  <c r="C99" i="53"/>
  <c r="C98" i="53"/>
  <c r="C97" i="53"/>
  <c r="C96" i="53"/>
  <c r="C95" i="53"/>
  <c r="C94" i="53"/>
  <c r="C93" i="53"/>
  <c r="C92" i="53"/>
  <c r="C91" i="53"/>
  <c r="C90" i="53"/>
  <c r="C89" i="53"/>
  <c r="C88" i="53"/>
  <c r="C87" i="53"/>
  <c r="C86" i="53"/>
  <c r="C85" i="53"/>
  <c r="C84" i="53"/>
  <c r="C83" i="53"/>
  <c r="C82" i="53"/>
  <c r="P7" i="108"/>
  <c r="O7" i="108"/>
  <c r="P19" i="108"/>
  <c r="O19" i="108"/>
  <c r="N29" i="108"/>
  <c r="N52" i="108"/>
  <c r="N8" i="108"/>
  <c r="H6" i="107"/>
  <c r="D23" i="118" l="1"/>
  <c r="C15" i="118"/>
  <c r="F29" i="119" s="1"/>
  <c r="U53" i="114"/>
  <c r="T7" i="114"/>
  <c r="U47" i="114"/>
  <c r="T22" i="114"/>
  <c r="X64" i="114"/>
  <c r="V58" i="114"/>
  <c r="C23" i="118"/>
  <c r="U35" i="118" s="1"/>
  <c r="F20" i="113"/>
  <c r="F19" i="113" s="1"/>
  <c r="C25" i="113"/>
  <c r="F32" i="113"/>
  <c r="F31" i="113"/>
  <c r="F23" i="119"/>
  <c r="E22" i="29"/>
  <c r="E23" i="29"/>
  <c r="E25" i="29"/>
  <c r="U46" i="114"/>
  <c r="U48" i="114"/>
  <c r="X72" i="114"/>
  <c r="X62" i="114"/>
  <c r="X78" i="114"/>
  <c r="X60" i="114"/>
  <c r="W58" i="114"/>
  <c r="U40" i="114"/>
  <c r="U52" i="114"/>
  <c r="X71" i="114"/>
  <c r="U49" i="114"/>
  <c r="U51" i="114"/>
  <c r="U41" i="114"/>
  <c r="U55" i="114"/>
  <c r="X77" i="114"/>
  <c r="U29" i="114"/>
  <c r="U25" i="114"/>
  <c r="X89" i="114"/>
  <c r="V81" i="114"/>
  <c r="X87" i="114"/>
  <c r="X83" i="114"/>
  <c r="W81" i="114"/>
  <c r="C17" i="113"/>
  <c r="F27" i="112"/>
  <c r="F28" i="112" s="1"/>
  <c r="C11" i="113"/>
  <c r="F15" i="113"/>
  <c r="F30" i="112"/>
  <c r="F31" i="112" s="1"/>
  <c r="G27" i="112"/>
  <c r="G28" i="112" s="1"/>
  <c r="G23" i="112"/>
  <c r="F23" i="112"/>
  <c r="C17" i="112"/>
  <c r="AD12" i="11"/>
  <c r="AD13" i="11" s="1"/>
  <c r="AD14" i="11" s="1"/>
  <c r="AD15" i="11" s="1"/>
  <c r="AD16" i="11" s="1"/>
  <c r="AD17" i="11" s="1"/>
  <c r="AD18" i="11" s="1"/>
  <c r="N71" i="108"/>
  <c r="H8" i="107"/>
  <c r="N28" i="108"/>
  <c r="N36" i="108"/>
  <c r="P4" i="108"/>
  <c r="O4" i="108"/>
  <c r="N77" i="108"/>
  <c r="O77" i="108" s="1"/>
  <c r="P77" i="108"/>
  <c r="V27" i="118" l="1"/>
  <c r="V26" i="118"/>
  <c r="V23" i="118"/>
  <c r="V30" i="118"/>
  <c r="V24" i="118"/>
  <c r="V29" i="118"/>
  <c r="V28" i="118"/>
  <c r="V31" i="118"/>
  <c r="V25" i="118"/>
  <c r="F30" i="113"/>
  <c r="F19" i="119"/>
  <c r="F22" i="29"/>
  <c r="F26" i="29" s="1"/>
  <c r="F23" i="29"/>
  <c r="F27" i="29" s="1"/>
  <c r="F25" i="29"/>
  <c r="F29" i="29" s="1"/>
  <c r="I36" i="112"/>
  <c r="H27" i="112"/>
  <c r="H28" i="112" s="1"/>
  <c r="G30" i="112"/>
  <c r="G31" i="112" s="1"/>
  <c r="N56" i="108"/>
  <c r="V34" i="118" l="1"/>
  <c r="G22" i="29"/>
  <c r="G23" i="29"/>
  <c r="G25" i="29"/>
  <c r="N27" i="112"/>
  <c r="N28" i="112" s="1"/>
  <c r="H30" i="112"/>
  <c r="H31" i="112" s="1"/>
  <c r="I27" i="112"/>
  <c r="I28" i="112" s="1"/>
  <c r="I23" i="112"/>
  <c r="H23" i="112"/>
  <c r="F6" i="107"/>
  <c r="N40" i="108"/>
  <c r="F8" i="107"/>
  <c r="N5" i="108"/>
  <c r="E8" i="107"/>
  <c r="N39" i="108"/>
  <c r="N61" i="108"/>
  <c r="H22" i="29" l="1"/>
  <c r="H26" i="29" s="1"/>
  <c r="H23" i="29"/>
  <c r="H27" i="29" s="1"/>
  <c r="H25" i="29"/>
  <c r="H29" i="29" s="1"/>
  <c r="O27" i="112"/>
  <c r="O28" i="112" s="1"/>
  <c r="J27" i="112"/>
  <c r="J28" i="112" s="1"/>
  <c r="I30" i="112"/>
  <c r="I31" i="112" s="1"/>
  <c r="J23" i="112"/>
  <c r="N51" i="108"/>
  <c r="N69" i="108"/>
  <c r="N62" i="108"/>
  <c r="N74" i="108"/>
  <c r="I22" i="29" l="1"/>
  <c r="I23" i="29"/>
  <c r="I25" i="29"/>
  <c r="Q14" i="112"/>
  <c r="P27" i="112"/>
  <c r="P28" i="112" s="1"/>
  <c r="J30" i="112"/>
  <c r="J31" i="112" s="1"/>
  <c r="K27" i="112"/>
  <c r="K28" i="112" s="1"/>
  <c r="O5" i="108"/>
  <c r="P5" i="108"/>
  <c r="P14" i="108"/>
  <c r="O14" i="108"/>
  <c r="S10" i="103"/>
  <c r="P39" i="104"/>
  <c r="N41" i="104"/>
  <c r="J22" i="29" l="1"/>
  <c r="J26" i="29" s="1"/>
  <c r="J23" i="29"/>
  <c r="J27" i="29" s="1"/>
  <c r="J25" i="29"/>
  <c r="J29" i="29" s="1"/>
  <c r="Q27" i="112"/>
  <c r="Q28" i="112" s="1"/>
  <c r="L27" i="112"/>
  <c r="L28" i="112" s="1"/>
  <c r="L23" i="112"/>
  <c r="K30" i="112"/>
  <c r="K31" i="112" s="1"/>
  <c r="K23" i="112"/>
  <c r="T5" i="108"/>
  <c r="Q5" i="108"/>
  <c r="O6" i="104"/>
  <c r="N6" i="104" s="1"/>
  <c r="P49" i="108"/>
  <c r="O49" i="108"/>
  <c r="P69" i="108"/>
  <c r="O69" i="108"/>
  <c r="P52" i="108"/>
  <c r="O52" i="108"/>
  <c r="S19" i="103"/>
  <c r="Q50" i="104"/>
  <c r="P50" i="104"/>
  <c r="Q49" i="104"/>
  <c r="P49" i="104"/>
  <c r="Q48" i="104"/>
  <c r="P48" i="104"/>
  <c r="O10" i="46"/>
  <c r="P10" i="46"/>
  <c r="O11" i="46"/>
  <c r="P11" i="46"/>
  <c r="O12" i="46"/>
  <c r="P12" i="46"/>
  <c r="O13" i="46"/>
  <c r="P13" i="46"/>
  <c r="O14" i="46"/>
  <c r="P14" i="46"/>
  <c r="P9" i="46"/>
  <c r="O9" i="46"/>
  <c r="P50" i="108"/>
  <c r="O50" i="108"/>
  <c r="P51" i="108"/>
  <c r="O51" i="108"/>
  <c r="P40" i="108"/>
  <c r="O40" i="108"/>
  <c r="P55" i="108"/>
  <c r="O55" i="108"/>
  <c r="Q47" i="104"/>
  <c r="P47" i="104"/>
  <c r="Q46" i="104"/>
  <c r="P46" i="104"/>
  <c r="Q45" i="104"/>
  <c r="P45" i="104"/>
  <c r="Q44" i="104"/>
  <c r="P44" i="104"/>
  <c r="S12" i="103"/>
  <c r="F17" i="107"/>
  <c r="G17" i="107" s="1"/>
  <c r="H17" i="107" s="1"/>
  <c r="I17" i="107" s="1"/>
  <c r="K17" i="107" s="1"/>
  <c r="L17" i="107" s="1"/>
  <c r="M17" i="107" s="1"/>
  <c r="N17" i="107" s="1"/>
  <c r="O17" i="107" s="1"/>
  <c r="P17" i="107" s="1"/>
  <c r="R17" i="107" s="1"/>
  <c r="H21" i="107"/>
  <c r="I21" i="107" s="1"/>
  <c r="E22" i="107"/>
  <c r="E30" i="107" s="1"/>
  <c r="P76" i="108"/>
  <c r="O76" i="108"/>
  <c r="P74" i="108"/>
  <c r="O74" i="108"/>
  <c r="P71" i="108"/>
  <c r="O71" i="108"/>
  <c r="P70" i="108"/>
  <c r="O70" i="108"/>
  <c r="P62" i="108"/>
  <c r="O62" i="108"/>
  <c r="P61" i="108"/>
  <c r="O61" i="108"/>
  <c r="P56" i="108"/>
  <c r="O56" i="108"/>
  <c r="P42" i="108"/>
  <c r="O42" i="108"/>
  <c r="P39" i="108"/>
  <c r="O39" i="108"/>
  <c r="P38" i="108"/>
  <c r="O38" i="108"/>
  <c r="P37" i="108"/>
  <c r="O37" i="108"/>
  <c r="P36" i="108"/>
  <c r="O36" i="108"/>
  <c r="O31" i="108"/>
  <c r="P29" i="108"/>
  <c r="O29" i="108"/>
  <c r="P28" i="108"/>
  <c r="O28" i="108"/>
  <c r="P27" i="108"/>
  <c r="O27" i="108"/>
  <c r="P25" i="108"/>
  <c r="O25" i="108"/>
  <c r="F21" i="108"/>
  <c r="P24" i="108"/>
  <c r="O24" i="108"/>
  <c r="P23" i="108"/>
  <c r="O23" i="108"/>
  <c r="P20" i="108"/>
  <c r="O20" i="108"/>
  <c r="C18" i="108"/>
  <c r="P18" i="108"/>
  <c r="O18" i="108"/>
  <c r="P17" i="108"/>
  <c r="O17" i="108"/>
  <c r="P15" i="108"/>
  <c r="O15" i="108"/>
  <c r="F13" i="108"/>
  <c r="P12" i="108"/>
  <c r="O12" i="108"/>
  <c r="C12" i="108"/>
  <c r="P11" i="108"/>
  <c r="O11" i="108"/>
  <c r="P10" i="108"/>
  <c r="O10" i="108"/>
  <c r="P9" i="108"/>
  <c r="O9" i="108"/>
  <c r="K8" i="108"/>
  <c r="P8" i="108" s="1"/>
  <c r="P6" i="108"/>
  <c r="O6" i="108"/>
  <c r="D30" i="107"/>
  <c r="S29" i="107"/>
  <c r="R29" i="107"/>
  <c r="Q29" i="107"/>
  <c r="P29" i="107"/>
  <c r="O29" i="107"/>
  <c r="N29" i="107"/>
  <c r="M29" i="107"/>
  <c r="L29" i="107"/>
  <c r="K29" i="107"/>
  <c r="J29" i="107"/>
  <c r="I29" i="107"/>
  <c r="H29" i="107"/>
  <c r="G29" i="107"/>
  <c r="E29" i="107"/>
  <c r="D29" i="107"/>
  <c r="E26" i="107"/>
  <c r="B22" i="107"/>
  <c r="C20" i="107"/>
  <c r="F25" i="108" s="1"/>
  <c r="C19" i="107"/>
  <c r="F20" i="108" s="1"/>
  <c r="B18" i="107"/>
  <c r="B17" i="107"/>
  <c r="C16" i="107"/>
  <c r="F24" i="108" s="1"/>
  <c r="B15" i="107"/>
  <c r="B14" i="107"/>
  <c r="C12" i="107"/>
  <c r="C24" i="108" s="1"/>
  <c r="C10" i="107"/>
  <c r="C27" i="108" s="1"/>
  <c r="C9" i="107"/>
  <c r="F9" i="110" s="1"/>
  <c r="G9" i="110" s="1"/>
  <c r="H9" i="110" s="1"/>
  <c r="I9" i="110" s="1"/>
  <c r="C8" i="107"/>
  <c r="T42" i="104"/>
  <c r="T41" i="104"/>
  <c r="O43" i="104"/>
  <c r="Q43" i="104"/>
  <c r="R19" i="103"/>
  <c r="Q29" i="104"/>
  <c r="P29" i="104"/>
  <c r="Q32" i="104"/>
  <c r="P32" i="104"/>
  <c r="Q36" i="104"/>
  <c r="P36" i="104"/>
  <c r="Q33" i="104"/>
  <c r="P33" i="104"/>
  <c r="Q35" i="104"/>
  <c r="P35" i="104"/>
  <c r="Q28" i="104"/>
  <c r="P28" i="104"/>
  <c r="Q38" i="104"/>
  <c r="P38" i="104"/>
  <c r="Q37" i="104"/>
  <c r="P37" i="104"/>
  <c r="Q30" i="104"/>
  <c r="P30" i="104"/>
  <c r="Q34" i="104"/>
  <c r="P34" i="104"/>
  <c r="Q19" i="103"/>
  <c r="P6" i="103"/>
  <c r="K22" i="29" l="1"/>
  <c r="K23" i="29"/>
  <c r="K25" i="29"/>
  <c r="R27" i="112"/>
  <c r="R28" i="112" s="1"/>
  <c r="T10" i="108"/>
  <c r="Q10" i="108"/>
  <c r="M23" i="112"/>
  <c r="L30" i="112"/>
  <c r="L31" i="112" s="1"/>
  <c r="M27" i="112"/>
  <c r="M28" i="112" s="1"/>
  <c r="C15" i="112"/>
  <c r="F22" i="107"/>
  <c r="G22" i="107" s="1"/>
  <c r="G30" i="107" s="1"/>
  <c r="G31" i="107" s="1"/>
  <c r="O8" i="108"/>
  <c r="T8" i="108" s="1"/>
  <c r="T6" i="108"/>
  <c r="Q6" i="108"/>
  <c r="T9" i="108"/>
  <c r="Q9" i="108"/>
  <c r="T20" i="108"/>
  <c r="Q20" i="108"/>
  <c r="T37" i="108"/>
  <c r="Q37" i="108"/>
  <c r="Q49" i="108"/>
  <c r="T49" i="108"/>
  <c r="T17" i="108"/>
  <c r="Q17" i="108"/>
  <c r="Q50" i="108"/>
  <c r="T50" i="108"/>
  <c r="T70" i="108"/>
  <c r="Q70" i="108"/>
  <c r="P43" i="104"/>
  <c r="U43" i="104" s="1"/>
  <c r="N43" i="104"/>
  <c r="T38" i="108"/>
  <c r="Q38" i="108"/>
  <c r="Q42" i="108"/>
  <c r="T42" i="108"/>
  <c r="Q23" i="108"/>
  <c r="T23" i="108"/>
  <c r="Q55" i="108"/>
  <c r="T55" i="108"/>
  <c r="Q25" i="108"/>
  <c r="T25" i="108"/>
  <c r="Q28" i="108"/>
  <c r="T28" i="108"/>
  <c r="T52" i="108"/>
  <c r="Q52" i="108"/>
  <c r="T71" i="108"/>
  <c r="Q71" i="108"/>
  <c r="Q29" i="108"/>
  <c r="T29" i="108"/>
  <c r="Q36" i="108"/>
  <c r="T36" i="108"/>
  <c r="C15" i="108"/>
  <c r="T69" i="108"/>
  <c r="Q69" i="108"/>
  <c r="T39" i="108"/>
  <c r="Q39" i="108"/>
  <c r="T56" i="108"/>
  <c r="Q56" i="108"/>
  <c r="T62" i="108"/>
  <c r="Q62" i="108"/>
  <c r="T51" i="108"/>
  <c r="Q51" i="108"/>
  <c r="Q61" i="108"/>
  <c r="T61" i="108"/>
  <c r="T74" i="108"/>
  <c r="Q74" i="108"/>
  <c r="T40" i="108"/>
  <c r="Q40" i="108"/>
  <c r="C14" i="108"/>
  <c r="G26" i="107"/>
  <c r="F13" i="107"/>
  <c r="F26" i="107"/>
  <c r="E13" i="107"/>
  <c r="C13" i="108"/>
  <c r="F12" i="108"/>
  <c r="F23" i="108"/>
  <c r="F19" i="108"/>
  <c r="H22" i="107"/>
  <c r="C21" i="107"/>
  <c r="F32" i="108" s="1"/>
  <c r="E31" i="107"/>
  <c r="D31" i="107"/>
  <c r="C29" i="107"/>
  <c r="F16" i="108"/>
  <c r="F14" i="108"/>
  <c r="C19" i="108"/>
  <c r="C17" i="108" s="1"/>
  <c r="C17" i="107"/>
  <c r="F30" i="108" s="1"/>
  <c r="E18" i="107"/>
  <c r="F18" i="107" s="1"/>
  <c r="G18" i="107" s="1"/>
  <c r="H18" i="107" s="1"/>
  <c r="I18" i="107" s="1"/>
  <c r="J18" i="107" s="1"/>
  <c r="K18" i="107" s="1"/>
  <c r="L18" i="107" s="1"/>
  <c r="M18" i="107" s="1"/>
  <c r="N18" i="107" s="1"/>
  <c r="O18" i="107" s="1"/>
  <c r="P18" i="107" s="1"/>
  <c r="Q18" i="107" s="1"/>
  <c r="R18" i="107" s="1"/>
  <c r="S18" i="107" s="1"/>
  <c r="D26" i="107"/>
  <c r="F29" i="107"/>
  <c r="C6" i="107"/>
  <c r="C25" i="108" s="1"/>
  <c r="D13" i="107"/>
  <c r="F15" i="107"/>
  <c r="G15" i="107" s="1"/>
  <c r="H15" i="107" s="1"/>
  <c r="I15" i="107" s="1"/>
  <c r="J15" i="107" s="1"/>
  <c r="K15" i="107" s="1"/>
  <c r="L15" i="107" s="1"/>
  <c r="M15" i="107" s="1"/>
  <c r="O15" i="107" s="1"/>
  <c r="P15" i="107" s="1"/>
  <c r="Q15" i="107" s="1"/>
  <c r="R15" i="107" s="1"/>
  <c r="S15" i="107" s="1"/>
  <c r="P7" i="103"/>
  <c r="Q7" i="103" s="1"/>
  <c r="R7" i="103" s="1"/>
  <c r="S7" i="103" s="1"/>
  <c r="M6" i="103"/>
  <c r="M7" i="103"/>
  <c r="O42" i="104"/>
  <c r="Q42" i="104"/>
  <c r="Q41" i="104"/>
  <c r="P41" i="104"/>
  <c r="U41" i="104" s="1"/>
  <c r="J7" i="103"/>
  <c r="H6" i="103"/>
  <c r="K7" i="104"/>
  <c r="Q7" i="104" s="1"/>
  <c r="P7" i="104"/>
  <c r="O13" i="104"/>
  <c r="N13" i="104" s="1"/>
  <c r="O26" i="104"/>
  <c r="N26" i="104" s="1"/>
  <c r="G8" i="103"/>
  <c r="G29" i="103" s="1"/>
  <c r="F6" i="103"/>
  <c r="Q14" i="104"/>
  <c r="P14" i="104"/>
  <c r="Q5" i="104"/>
  <c r="P5" i="104"/>
  <c r="O9" i="104"/>
  <c r="N9" i="104" s="1"/>
  <c r="O16" i="104"/>
  <c r="N16" i="104" s="1"/>
  <c r="F8" i="103"/>
  <c r="F29" i="103" s="1"/>
  <c r="D7" i="103"/>
  <c r="O40" i="104"/>
  <c r="Q40" i="104"/>
  <c r="O31" i="104"/>
  <c r="S6" i="100"/>
  <c r="AA3" i="11"/>
  <c r="O6" i="41"/>
  <c r="O7" i="41" s="1"/>
  <c r="O8" i="41" s="1"/>
  <c r="O9" i="41" s="1"/>
  <c r="O10" i="41" s="1"/>
  <c r="O11" i="41" s="1"/>
  <c r="O12" i="41" s="1"/>
  <c r="O13" i="41" s="1"/>
  <c r="O14" i="41" s="1"/>
  <c r="O15" i="41" s="1"/>
  <c r="O16" i="41" s="1"/>
  <c r="O17" i="41" s="1"/>
  <c r="P6" i="41"/>
  <c r="P7" i="41" s="1"/>
  <c r="P8" i="41" s="1"/>
  <c r="R6" i="41"/>
  <c r="S6" i="41"/>
  <c r="S7" i="41" s="1"/>
  <c r="S8" i="41" s="1"/>
  <c r="S9" i="41" s="1"/>
  <c r="S10" i="41" s="1"/>
  <c r="S11" i="41" s="1"/>
  <c r="S12" i="41" s="1"/>
  <c r="S13" i="41" s="1"/>
  <c r="S14" i="41" s="1"/>
  <c r="S15" i="41" s="1"/>
  <c r="S16" i="41" s="1"/>
  <c r="S17" i="41" s="1"/>
  <c r="P10" i="41"/>
  <c r="P11" i="41" s="1"/>
  <c r="P12" i="41" s="1"/>
  <c r="P13" i="41" s="1"/>
  <c r="P14" i="41" s="1"/>
  <c r="P15" i="41" s="1"/>
  <c r="P16" i="41" s="1"/>
  <c r="P17" i="41" s="1"/>
  <c r="T5" i="41"/>
  <c r="L6" i="41"/>
  <c r="L7" i="41" s="1"/>
  <c r="L8" i="41" s="1"/>
  <c r="L9" i="41" s="1"/>
  <c r="L10" i="41" s="1"/>
  <c r="L11" i="41" s="1"/>
  <c r="L12" i="41" s="1"/>
  <c r="L13" i="41" s="1"/>
  <c r="L14" i="41" s="1"/>
  <c r="L15" i="41" s="1"/>
  <c r="L16" i="41" s="1"/>
  <c r="L17" i="41" s="1"/>
  <c r="I10" i="41"/>
  <c r="I11" i="41" s="1"/>
  <c r="I12" i="41" s="1"/>
  <c r="I13" i="41" s="1"/>
  <c r="I14" i="41" s="1"/>
  <c r="I15" i="41" s="1"/>
  <c r="I16" i="41" s="1"/>
  <c r="I17" i="41" s="1"/>
  <c r="K6" i="41"/>
  <c r="K7" i="41" s="1"/>
  <c r="I6" i="41"/>
  <c r="I7" i="41" s="1"/>
  <c r="I8" i="41" s="1"/>
  <c r="M5" i="41"/>
  <c r="Q20" i="104"/>
  <c r="P20" i="104"/>
  <c r="P44" i="101"/>
  <c r="O44" i="101"/>
  <c r="S19" i="100"/>
  <c r="Q18" i="104"/>
  <c r="P18" i="104"/>
  <c r="P43" i="101"/>
  <c r="O43" i="101"/>
  <c r="L14" i="103"/>
  <c r="E4" i="103"/>
  <c r="F4" i="103" s="1"/>
  <c r="Q31" i="104"/>
  <c r="Q26" i="104"/>
  <c r="Q4" i="104"/>
  <c r="P4" i="104"/>
  <c r="Q11" i="104"/>
  <c r="P11" i="104"/>
  <c r="Q8" i="104"/>
  <c r="P8" i="104"/>
  <c r="Q6" i="104"/>
  <c r="P6" i="104"/>
  <c r="Q10" i="104"/>
  <c r="P10" i="104"/>
  <c r="Q24" i="104"/>
  <c r="P24" i="104"/>
  <c r="Q21" i="104"/>
  <c r="P21" i="104"/>
  <c r="Q17" i="104"/>
  <c r="P17" i="104"/>
  <c r="Q13" i="104"/>
  <c r="Q19" i="104"/>
  <c r="P19" i="104"/>
  <c r="Q9" i="104"/>
  <c r="Q12" i="104"/>
  <c r="P12" i="104"/>
  <c r="F21" i="104"/>
  <c r="Q27" i="104"/>
  <c r="P27" i="104"/>
  <c r="C18" i="104"/>
  <c r="Q22" i="104"/>
  <c r="P22" i="104"/>
  <c r="Q23" i="104"/>
  <c r="P23" i="104"/>
  <c r="C12" i="104"/>
  <c r="Q16" i="104"/>
  <c r="P25" i="104"/>
  <c r="Q39" i="104"/>
  <c r="Q15" i="104"/>
  <c r="P15" i="104"/>
  <c r="S30" i="103"/>
  <c r="R30" i="103"/>
  <c r="Q30" i="103"/>
  <c r="P30" i="103"/>
  <c r="O30" i="103"/>
  <c r="N30" i="103"/>
  <c r="M30" i="103"/>
  <c r="J30" i="103"/>
  <c r="I30" i="103"/>
  <c r="H30" i="103"/>
  <c r="F30" i="103"/>
  <c r="E30" i="103"/>
  <c r="D30" i="103"/>
  <c r="R29" i="103"/>
  <c r="R31" i="103" s="1"/>
  <c r="Q29" i="103"/>
  <c r="Q31" i="103" s="1"/>
  <c r="P29" i="103"/>
  <c r="P31" i="103" s="1"/>
  <c r="O29" i="103"/>
  <c r="O31" i="103" s="1"/>
  <c r="N29" i="103"/>
  <c r="N31" i="103" s="1"/>
  <c r="M29" i="103"/>
  <c r="M31" i="103" s="1"/>
  <c r="L29" i="103"/>
  <c r="K29" i="103"/>
  <c r="J29" i="103"/>
  <c r="I29" i="103"/>
  <c r="H29" i="103"/>
  <c r="E29" i="103"/>
  <c r="D29" i="103"/>
  <c r="C22" i="103"/>
  <c r="F33" i="104" s="1"/>
  <c r="B22" i="103"/>
  <c r="C20" i="103"/>
  <c r="F25" i="104" s="1"/>
  <c r="L30" i="103"/>
  <c r="K30" i="103"/>
  <c r="G30" i="103"/>
  <c r="C19" i="103"/>
  <c r="F20" i="104" s="1"/>
  <c r="B18" i="103"/>
  <c r="B17" i="103"/>
  <c r="C16" i="103"/>
  <c r="F24" i="104" s="1"/>
  <c r="B15" i="103"/>
  <c r="B14" i="103"/>
  <c r="C12" i="103"/>
  <c r="C24" i="104" s="1"/>
  <c r="D13" i="103"/>
  <c r="C10" i="103"/>
  <c r="C27" i="104" s="1"/>
  <c r="C9" i="103"/>
  <c r="S29" i="103"/>
  <c r="S31" i="103" s="1"/>
  <c r="E26" i="103"/>
  <c r="S8" i="100"/>
  <c r="N9" i="101"/>
  <c r="N19" i="101"/>
  <c r="O19" i="101" s="1"/>
  <c r="Q19" i="101" s="1"/>
  <c r="N11" i="101"/>
  <c r="O11" i="101" s="1"/>
  <c r="Q11" i="101" s="1"/>
  <c r="R7" i="100"/>
  <c r="P42" i="101"/>
  <c r="O42" i="101"/>
  <c r="P41" i="101"/>
  <c r="C15" i="101" s="1"/>
  <c r="O41" i="101"/>
  <c r="P40" i="101"/>
  <c r="O40" i="101"/>
  <c r="N37" i="101"/>
  <c r="O37" i="101" s="1"/>
  <c r="Q37" i="101" s="1"/>
  <c r="P39" i="101"/>
  <c r="O39" i="101"/>
  <c r="N38" i="101"/>
  <c r="O38" i="101" s="1"/>
  <c r="T38" i="101" s="1"/>
  <c r="P38" i="101"/>
  <c r="P37" i="101"/>
  <c r="P36" i="101"/>
  <c r="O36" i="101"/>
  <c r="L19" i="100"/>
  <c r="N20" i="101"/>
  <c r="O20" i="101" s="1"/>
  <c r="N34" i="101"/>
  <c r="O34" i="101" s="1"/>
  <c r="T34" i="101" s="1"/>
  <c r="L7" i="100"/>
  <c r="M7" i="100" s="1"/>
  <c r="N7" i="100" s="1"/>
  <c r="O7" i="100" s="1"/>
  <c r="P7" i="100" s="1"/>
  <c r="K19" i="100"/>
  <c r="P35" i="101"/>
  <c r="O35" i="101"/>
  <c r="N12" i="101"/>
  <c r="O12" i="101" s="1"/>
  <c r="Q12" i="101" s="1"/>
  <c r="P34" i="101"/>
  <c r="N17" i="101"/>
  <c r="O17" i="101" s="1"/>
  <c r="Q17" i="101" s="1"/>
  <c r="N33" i="101"/>
  <c r="O33" i="101" s="1"/>
  <c r="T33" i="101" s="1"/>
  <c r="P33" i="101"/>
  <c r="I6" i="100"/>
  <c r="P32" i="101"/>
  <c r="O32" i="101"/>
  <c r="T32" i="101" s="1"/>
  <c r="F71" i="53"/>
  <c r="G71" i="53"/>
  <c r="F72" i="53"/>
  <c r="G72" i="53"/>
  <c r="F73" i="53"/>
  <c r="G73" i="53"/>
  <c r="F74" i="53"/>
  <c r="G74" i="53"/>
  <c r="F75" i="53"/>
  <c r="G75" i="53"/>
  <c r="F76" i="53"/>
  <c r="G76" i="53"/>
  <c r="F77" i="53"/>
  <c r="G77" i="53"/>
  <c r="F78" i="53"/>
  <c r="G78" i="53"/>
  <c r="F79" i="53"/>
  <c r="G79" i="53"/>
  <c r="F80" i="53"/>
  <c r="G80" i="53"/>
  <c r="F81" i="53"/>
  <c r="G81" i="53"/>
  <c r="C71" i="53"/>
  <c r="D71" i="53"/>
  <c r="C72" i="53"/>
  <c r="D72" i="53"/>
  <c r="C73" i="53"/>
  <c r="D73" i="53"/>
  <c r="C74" i="53"/>
  <c r="D74" i="53"/>
  <c r="C75" i="53"/>
  <c r="D75" i="53"/>
  <c r="C76" i="53"/>
  <c r="D76" i="53"/>
  <c r="C77" i="53"/>
  <c r="D77" i="53"/>
  <c r="C78" i="53"/>
  <c r="D78" i="53"/>
  <c r="C79" i="53"/>
  <c r="D79" i="53"/>
  <c r="C80" i="53"/>
  <c r="D80" i="53"/>
  <c r="C81" i="53"/>
  <c r="D81" i="53"/>
  <c r="N14" i="101"/>
  <c r="O14" i="101" s="1"/>
  <c r="T14" i="101" s="1"/>
  <c r="N7" i="101"/>
  <c r="P31" i="101"/>
  <c r="O31" i="101"/>
  <c r="G19" i="100"/>
  <c r="K3" i="102"/>
  <c r="K4" i="102"/>
  <c r="K5" i="102"/>
  <c r="K6" i="102"/>
  <c r="K7" i="102"/>
  <c r="K8" i="102"/>
  <c r="L8" i="102" s="1"/>
  <c r="K2" i="102"/>
  <c r="J8" i="102"/>
  <c r="I8" i="102"/>
  <c r="J7" i="102"/>
  <c r="I7" i="102"/>
  <c r="L7" i="102" s="1"/>
  <c r="J6" i="102"/>
  <c r="M6" i="102" s="1"/>
  <c r="I6" i="102"/>
  <c r="J5" i="102"/>
  <c r="I5" i="102"/>
  <c r="J4" i="102"/>
  <c r="I4" i="102"/>
  <c r="L3" i="102"/>
  <c r="J3" i="102"/>
  <c r="M3" i="102" s="1"/>
  <c r="I3" i="102"/>
  <c r="I2" i="102"/>
  <c r="J2" i="102"/>
  <c r="P30" i="101"/>
  <c r="O30" i="101"/>
  <c r="T30" i="101" s="1"/>
  <c r="O7" i="101"/>
  <c r="T7" i="101" s="1"/>
  <c r="O6" i="101"/>
  <c r="N16" i="101"/>
  <c r="O16" i="101" s="1"/>
  <c r="T16" i="101" s="1"/>
  <c r="N29" i="101"/>
  <c r="O29" i="101" s="1"/>
  <c r="T29" i="101" s="1"/>
  <c r="P29" i="101"/>
  <c r="C18" i="101"/>
  <c r="N28" i="101"/>
  <c r="O28" i="101" s="1"/>
  <c r="T28" i="101" s="1"/>
  <c r="P28" i="101"/>
  <c r="E11" i="100"/>
  <c r="E6" i="100"/>
  <c r="D11" i="100"/>
  <c r="D13" i="100"/>
  <c r="D17" i="100"/>
  <c r="D26" i="100"/>
  <c r="D29" i="100"/>
  <c r="D30" i="100"/>
  <c r="D31" i="100" s="1"/>
  <c r="F21" i="101"/>
  <c r="F16" i="101"/>
  <c r="P27" i="101"/>
  <c r="O27" i="101"/>
  <c r="P26" i="101"/>
  <c r="O26" i="101"/>
  <c r="P25" i="101"/>
  <c r="O25" i="101"/>
  <c r="P24" i="101"/>
  <c r="O24" i="101"/>
  <c r="P23" i="101"/>
  <c r="O23" i="101"/>
  <c r="P22" i="101"/>
  <c r="O22" i="101"/>
  <c r="P21" i="101"/>
  <c r="O21" i="101"/>
  <c r="P20" i="101"/>
  <c r="P19" i="101"/>
  <c r="P18" i="101"/>
  <c r="O18" i="101"/>
  <c r="P17" i="101"/>
  <c r="P16" i="101"/>
  <c r="P15" i="101"/>
  <c r="O15" i="101"/>
  <c r="P14" i="101"/>
  <c r="P13" i="101"/>
  <c r="O13" i="101"/>
  <c r="P12" i="101"/>
  <c r="P11" i="101"/>
  <c r="P10" i="101"/>
  <c r="O10" i="101"/>
  <c r="P9" i="101"/>
  <c r="O9" i="101"/>
  <c r="Q9" i="101" s="1"/>
  <c r="O8" i="101"/>
  <c r="P7" i="101"/>
  <c r="P6" i="101"/>
  <c r="P5" i="101"/>
  <c r="O5" i="101"/>
  <c r="Q5" i="101" s="1"/>
  <c r="P4" i="101"/>
  <c r="O4" i="101"/>
  <c r="S14" i="98"/>
  <c r="P63" i="99"/>
  <c r="O63" i="99"/>
  <c r="S19" i="98"/>
  <c r="S10" i="98"/>
  <c r="N10" i="99"/>
  <c r="S8" i="98"/>
  <c r="N22" i="99"/>
  <c r="R6" i="98"/>
  <c r="P6" i="98"/>
  <c r="M7" i="102" l="1"/>
  <c r="M4" i="102"/>
  <c r="P16" i="104"/>
  <c r="R16" i="104" s="1"/>
  <c r="P40" i="104"/>
  <c r="U40" i="104" s="1"/>
  <c r="N40" i="104"/>
  <c r="F29" i="113"/>
  <c r="L22" i="29"/>
  <c r="L26" i="29" s="1"/>
  <c r="L23" i="29"/>
  <c r="L27" i="29" s="1"/>
  <c r="L25" i="29"/>
  <c r="L29" i="29" s="1"/>
  <c r="S27" i="112"/>
  <c r="C14" i="112"/>
  <c r="M30" i="112"/>
  <c r="M31" i="112" s="1"/>
  <c r="Q8" i="108"/>
  <c r="F30" i="107"/>
  <c r="F31" i="107" s="1"/>
  <c r="P26" i="104"/>
  <c r="R26" i="104" s="1"/>
  <c r="P31" i="104"/>
  <c r="R31" i="104" s="1"/>
  <c r="N31" i="104"/>
  <c r="P42" i="104"/>
  <c r="U42" i="104" s="1"/>
  <c r="N42" i="104"/>
  <c r="C15" i="104"/>
  <c r="S35" i="103" s="1"/>
  <c r="I13" i="107"/>
  <c r="G13" i="107"/>
  <c r="J27" i="107"/>
  <c r="C11" i="108"/>
  <c r="R6" i="104"/>
  <c r="U6" i="104"/>
  <c r="I27" i="107"/>
  <c r="C14" i="107"/>
  <c r="F28" i="108" s="1"/>
  <c r="H30" i="107"/>
  <c r="H31" i="107" s="1"/>
  <c r="I22" i="107"/>
  <c r="I23" i="107" s="1"/>
  <c r="F15" i="108"/>
  <c r="E27" i="107"/>
  <c r="E28" i="107" s="1"/>
  <c r="E23" i="107"/>
  <c r="K27" i="107"/>
  <c r="C18" i="107"/>
  <c r="F31" i="108" s="1"/>
  <c r="C12" i="101"/>
  <c r="T37" i="101"/>
  <c r="T5" i="101"/>
  <c r="P9" i="104"/>
  <c r="R9" i="104" s="1"/>
  <c r="C19" i="104"/>
  <c r="C17" i="104" s="1"/>
  <c r="U16" i="104"/>
  <c r="P13" i="104"/>
  <c r="R13" i="104" s="1"/>
  <c r="U26" i="104"/>
  <c r="T19" i="101"/>
  <c r="T17" i="101"/>
  <c r="T20" i="101"/>
  <c r="Q20" i="101"/>
  <c r="T12" i="101"/>
  <c r="Q14" i="101"/>
  <c r="Q16" i="101"/>
  <c r="T11" i="101"/>
  <c r="T9" i="101"/>
  <c r="C13" i="101"/>
  <c r="J31" i="103"/>
  <c r="H35" i="103"/>
  <c r="C13" i="104"/>
  <c r="F15" i="101"/>
  <c r="H17" i="103"/>
  <c r="I17" i="103" s="1"/>
  <c r="J17" i="103" s="1"/>
  <c r="T6" i="41"/>
  <c r="R7" i="41"/>
  <c r="R8" i="41" s="1"/>
  <c r="M7" i="41"/>
  <c r="K8" i="41"/>
  <c r="M6" i="41"/>
  <c r="F26" i="103"/>
  <c r="G11" i="103"/>
  <c r="F13" i="103"/>
  <c r="G4" i="103"/>
  <c r="C14" i="104"/>
  <c r="I31" i="103"/>
  <c r="H31" i="103"/>
  <c r="F31" i="103"/>
  <c r="E31" i="103"/>
  <c r="D31" i="103"/>
  <c r="G31" i="103"/>
  <c r="L31" i="103"/>
  <c r="F13" i="104"/>
  <c r="F12" i="104"/>
  <c r="F19" i="104"/>
  <c r="F23" i="104"/>
  <c r="K31" i="103"/>
  <c r="D26" i="103"/>
  <c r="C30" i="103"/>
  <c r="E13" i="103"/>
  <c r="C6" i="103"/>
  <c r="C25" i="104" s="1"/>
  <c r="C7" i="103"/>
  <c r="C26" i="104" s="1"/>
  <c r="C8" i="103"/>
  <c r="F12" i="101"/>
  <c r="Q34" i="101"/>
  <c r="F13" i="101"/>
  <c r="L4" i="102"/>
  <c r="M5" i="102"/>
  <c r="L2" i="102"/>
  <c r="M2" i="102"/>
  <c r="M8" i="102"/>
  <c r="L6" i="102"/>
  <c r="L5" i="102"/>
  <c r="F14" i="101"/>
  <c r="C14" i="101"/>
  <c r="C19" i="101"/>
  <c r="P21" i="100"/>
  <c r="S30" i="100"/>
  <c r="R30" i="100"/>
  <c r="Q30" i="100"/>
  <c r="P30" i="100"/>
  <c r="N30" i="100"/>
  <c r="M30" i="100"/>
  <c r="K30" i="100"/>
  <c r="J30" i="100"/>
  <c r="I30" i="100"/>
  <c r="H30" i="100"/>
  <c r="G30" i="100"/>
  <c r="F30" i="100"/>
  <c r="E30" i="100"/>
  <c r="S29" i="100"/>
  <c r="R29" i="100"/>
  <c r="Q29" i="100"/>
  <c r="P29" i="100"/>
  <c r="O29" i="100"/>
  <c r="N29" i="100"/>
  <c r="M29" i="100"/>
  <c r="J29" i="100"/>
  <c r="I29" i="100"/>
  <c r="H29" i="100"/>
  <c r="F29" i="100"/>
  <c r="C22" i="100"/>
  <c r="F33" i="101" s="1"/>
  <c r="B22" i="100"/>
  <c r="C20" i="100"/>
  <c r="F25" i="101" s="1"/>
  <c r="O30" i="100"/>
  <c r="L30" i="100"/>
  <c r="B18" i="100"/>
  <c r="P17" i="100"/>
  <c r="Q17" i="100" s="1"/>
  <c r="H17" i="100"/>
  <c r="I17" i="100" s="1"/>
  <c r="J17" i="100" s="1"/>
  <c r="K17" i="100" s="1"/>
  <c r="L17" i="100" s="1"/>
  <c r="E17" i="100"/>
  <c r="B17" i="100"/>
  <c r="C16" i="100"/>
  <c r="F24" i="101" s="1"/>
  <c r="R15" i="100"/>
  <c r="S15" i="100" s="1"/>
  <c r="D15" i="103" s="1"/>
  <c r="E15" i="103" s="1"/>
  <c r="F15" i="103" s="1"/>
  <c r="G15" i="103" s="1"/>
  <c r="H15" i="103" s="1"/>
  <c r="J15" i="103" s="1"/>
  <c r="K15" i="103" s="1"/>
  <c r="L15" i="103" s="1"/>
  <c r="M15" i="103" s="1"/>
  <c r="N15" i="103" s="1"/>
  <c r="O15" i="103" s="1"/>
  <c r="P15" i="103" s="1"/>
  <c r="Q15" i="103" s="1"/>
  <c r="R15" i="103" s="1"/>
  <c r="S15" i="103" s="1"/>
  <c r="D15" i="107" s="1"/>
  <c r="B15" i="100"/>
  <c r="B14" i="100"/>
  <c r="C12" i="100"/>
  <c r="C24" i="101" s="1"/>
  <c r="G29" i="100"/>
  <c r="C9" i="100"/>
  <c r="L29" i="100"/>
  <c r="K29" i="100"/>
  <c r="C8" i="100"/>
  <c r="E29" i="100"/>
  <c r="C6" i="100"/>
  <c r="C25" i="101" s="1"/>
  <c r="P62" i="99"/>
  <c r="O62" i="99"/>
  <c r="P19" i="98"/>
  <c r="N61" i="99"/>
  <c r="O61" i="99" s="1"/>
  <c r="P61" i="99"/>
  <c r="N6" i="99"/>
  <c r="P60" i="99"/>
  <c r="O60" i="99"/>
  <c r="O19" i="98"/>
  <c r="P59" i="99"/>
  <c r="O59" i="99"/>
  <c r="N51" i="99"/>
  <c r="P58" i="99"/>
  <c r="O58" i="99"/>
  <c r="N14" i="99"/>
  <c r="N23" i="99"/>
  <c r="P57" i="99"/>
  <c r="O57" i="99"/>
  <c r="M7" i="98"/>
  <c r="N7" i="98" s="1"/>
  <c r="P56" i="99"/>
  <c r="O56" i="99"/>
  <c r="L19" i="98"/>
  <c r="L6" i="98"/>
  <c r="P55" i="99"/>
  <c r="O55" i="99"/>
  <c r="N5" i="99"/>
  <c r="N21" i="99"/>
  <c r="N50" i="99"/>
  <c r="L8" i="98"/>
  <c r="N42" i="99"/>
  <c r="N54" i="99"/>
  <c r="O54" i="99" s="1"/>
  <c r="P54" i="99"/>
  <c r="K9" i="98"/>
  <c r="K8" i="98"/>
  <c r="P53" i="99"/>
  <c r="O53" i="99"/>
  <c r="N36" i="99"/>
  <c r="N32" i="99"/>
  <c r="N28" i="99"/>
  <c r="N27" i="99"/>
  <c r="J6" i="98"/>
  <c r="K17" i="103" l="1"/>
  <c r="L17" i="103" s="1"/>
  <c r="D23" i="107"/>
  <c r="D27" i="107"/>
  <c r="D28" i="107" s="1"/>
  <c r="F14" i="104"/>
  <c r="F28" i="113"/>
  <c r="M22" i="29"/>
  <c r="M23" i="29"/>
  <c r="M25" i="29"/>
  <c r="G35" i="103"/>
  <c r="C27" i="112"/>
  <c r="N30" i="112"/>
  <c r="N31" i="112" s="1"/>
  <c r="N23" i="112"/>
  <c r="F16" i="104"/>
  <c r="F15" i="104"/>
  <c r="U31" i="104"/>
  <c r="I26" i="107"/>
  <c r="I28" i="107" s="1"/>
  <c r="J13" i="107"/>
  <c r="H26" i="107"/>
  <c r="H13" i="107"/>
  <c r="J26" i="107"/>
  <c r="J28" i="107" s="1"/>
  <c r="J22" i="107"/>
  <c r="I30" i="107"/>
  <c r="I31" i="107" s="1"/>
  <c r="L27" i="107"/>
  <c r="C7" i="107"/>
  <c r="C26" i="108" s="1"/>
  <c r="F23" i="107"/>
  <c r="F27" i="107"/>
  <c r="F28" i="107" s="1"/>
  <c r="U9" i="104"/>
  <c r="U13" i="104"/>
  <c r="C14" i="103"/>
  <c r="F28" i="104" s="1"/>
  <c r="H34" i="103"/>
  <c r="G34" i="103"/>
  <c r="S34" i="103"/>
  <c r="T7" i="41"/>
  <c r="M8" i="41"/>
  <c r="K9" i="41"/>
  <c r="S31" i="100"/>
  <c r="R31" i="100"/>
  <c r="G13" i="103"/>
  <c r="G26" i="103"/>
  <c r="H4" i="103"/>
  <c r="H33" i="103"/>
  <c r="G33" i="103"/>
  <c r="S33" i="103"/>
  <c r="C11" i="104"/>
  <c r="C21" i="103"/>
  <c r="F32" i="104" s="1"/>
  <c r="C29" i="103"/>
  <c r="C31" i="103" s="1"/>
  <c r="P31" i="100"/>
  <c r="M31" i="100"/>
  <c r="L31" i="100"/>
  <c r="J31" i="100"/>
  <c r="I31" i="100"/>
  <c r="H31" i="100"/>
  <c r="F31" i="100"/>
  <c r="E31" i="100"/>
  <c r="F23" i="101"/>
  <c r="S34" i="100"/>
  <c r="M34" i="100"/>
  <c r="K31" i="100"/>
  <c r="N31" i="100"/>
  <c r="G31" i="100"/>
  <c r="Q31" i="100"/>
  <c r="C17" i="101"/>
  <c r="R17" i="100"/>
  <c r="O31" i="100"/>
  <c r="C19" i="100"/>
  <c r="C10" i="100"/>
  <c r="N30" i="99"/>
  <c r="N43" i="99"/>
  <c r="N34" i="99"/>
  <c r="N33" i="99"/>
  <c r="N35" i="99"/>
  <c r="N41" i="99"/>
  <c r="H6" i="98"/>
  <c r="G67" i="53"/>
  <c r="G68" i="53"/>
  <c r="G69" i="53"/>
  <c r="G70" i="53"/>
  <c r="G66" i="53"/>
  <c r="D67" i="53"/>
  <c r="D68" i="53"/>
  <c r="D69" i="53"/>
  <c r="D70" i="53"/>
  <c r="D66" i="53"/>
  <c r="F66" i="53"/>
  <c r="F67" i="53"/>
  <c r="F68" i="53"/>
  <c r="F69" i="53"/>
  <c r="F70" i="53"/>
  <c r="C66" i="53"/>
  <c r="C67" i="53"/>
  <c r="C68" i="53"/>
  <c r="C69" i="53"/>
  <c r="C70" i="53"/>
  <c r="G10" i="98"/>
  <c r="G6" i="98"/>
  <c r="N31" i="99"/>
  <c r="G7" i="98"/>
  <c r="F8" i="98"/>
  <c r="N48" i="99"/>
  <c r="N37" i="99"/>
  <c r="F6" i="98"/>
  <c r="E8" i="98"/>
  <c r="F24" i="96"/>
  <c r="F23" i="96"/>
  <c r="F22" i="96"/>
  <c r="F21" i="96"/>
  <c r="N17" i="103" l="1"/>
  <c r="O17" i="103" s="1"/>
  <c r="Q17" i="103" s="1"/>
  <c r="R17" i="103" s="1"/>
  <c r="C17" i="103"/>
  <c r="F30" i="104" s="1"/>
  <c r="N22" i="29"/>
  <c r="N26" i="29" s="1"/>
  <c r="N23" i="29"/>
  <c r="N27" i="29" s="1"/>
  <c r="N25" i="29"/>
  <c r="N29" i="29" s="1"/>
  <c r="O30" i="112"/>
  <c r="O31" i="112" s="1"/>
  <c r="O23" i="112"/>
  <c r="K13" i="107"/>
  <c r="K26" i="107"/>
  <c r="K28" i="107" s="1"/>
  <c r="K22" i="107"/>
  <c r="J30" i="107"/>
  <c r="J31" i="107" s="1"/>
  <c r="J23" i="107"/>
  <c r="G27" i="107"/>
  <c r="G28" i="107" s="1"/>
  <c r="G23" i="107"/>
  <c r="M27" i="107"/>
  <c r="G36" i="103"/>
  <c r="S36" i="103"/>
  <c r="H36" i="103"/>
  <c r="T8" i="41"/>
  <c r="R9" i="41"/>
  <c r="K10" i="41"/>
  <c r="M9" i="41"/>
  <c r="H13" i="103"/>
  <c r="H26" i="103"/>
  <c r="I4" i="103"/>
  <c r="C17" i="100"/>
  <c r="F30" i="101" s="1"/>
  <c r="C11" i="101"/>
  <c r="S33" i="100"/>
  <c r="M33" i="100"/>
  <c r="C29" i="100"/>
  <c r="C27" i="101"/>
  <c r="C30" i="100"/>
  <c r="F20" i="101"/>
  <c r="F19" i="101" s="1"/>
  <c r="C7" i="100"/>
  <c r="C26" i="101" s="1"/>
  <c r="F20" i="96"/>
  <c r="F19" i="96"/>
  <c r="F18" i="96"/>
  <c r="H17" i="96" l="1"/>
  <c r="O22" i="29"/>
  <c r="O23" i="29"/>
  <c r="O25" i="29"/>
  <c r="P30" i="112"/>
  <c r="P31" i="112" s="1"/>
  <c r="P23" i="112"/>
  <c r="M11" i="107"/>
  <c r="L26" i="107"/>
  <c r="L28" i="107" s="1"/>
  <c r="L13" i="107"/>
  <c r="L22" i="107"/>
  <c r="K30" i="107"/>
  <c r="K31" i="107" s="1"/>
  <c r="K23" i="107"/>
  <c r="N27" i="107"/>
  <c r="H27" i="107"/>
  <c r="H28" i="107" s="1"/>
  <c r="H23" i="107"/>
  <c r="R10" i="41"/>
  <c r="T9" i="41"/>
  <c r="K11" i="41"/>
  <c r="M10" i="41"/>
  <c r="I13" i="103"/>
  <c r="I26" i="103"/>
  <c r="J4" i="103"/>
  <c r="C31" i="100"/>
  <c r="H24" i="96"/>
  <c r="H23" i="96"/>
  <c r="H22" i="96"/>
  <c r="H19" i="96"/>
  <c r="H21" i="96"/>
  <c r="H18" i="96"/>
  <c r="H20" i="96"/>
  <c r="G17" i="96"/>
  <c r="B14" i="96"/>
  <c r="D12" i="96" s="1"/>
  <c r="D17" i="89"/>
  <c r="D16" i="89"/>
  <c r="D15" i="89"/>
  <c r="D14" i="89"/>
  <c r="D13" i="89"/>
  <c r="D10" i="89"/>
  <c r="E9" i="89"/>
  <c r="E17" i="89" s="1"/>
  <c r="E8" i="89"/>
  <c r="F8" i="89" s="1"/>
  <c r="G8" i="89" s="1"/>
  <c r="H6" i="89"/>
  <c r="H14" i="89" s="1"/>
  <c r="G6" i="89"/>
  <c r="G7" i="89" s="1"/>
  <c r="H5" i="89"/>
  <c r="H13" i="89" s="1"/>
  <c r="G5" i="89"/>
  <c r="G13" i="89" s="1"/>
  <c r="F5" i="89"/>
  <c r="F13" i="89" s="1"/>
  <c r="E5" i="89"/>
  <c r="E13" i="89" s="1"/>
  <c r="D45" i="59"/>
  <c r="E45" i="59" s="1"/>
  <c r="D44" i="59"/>
  <c r="E44" i="59" s="1"/>
  <c r="D43" i="59"/>
  <c r="E43" i="59" s="1"/>
  <c r="D42" i="59"/>
  <c r="E42" i="59" s="1"/>
  <c r="D41" i="59"/>
  <c r="E41" i="59" s="1"/>
  <c r="D40" i="59"/>
  <c r="E40" i="59" s="1"/>
  <c r="D39" i="59"/>
  <c r="E39" i="59" s="1"/>
  <c r="D38" i="59"/>
  <c r="E38" i="59" s="1"/>
  <c r="D37" i="59"/>
  <c r="E37" i="59" s="1"/>
  <c r="D36" i="59"/>
  <c r="E36" i="59" s="1"/>
  <c r="D35" i="59"/>
  <c r="E35" i="59" s="1"/>
  <c r="D34" i="59"/>
  <c r="E34" i="59" s="1"/>
  <c r="E33" i="59"/>
  <c r="D29" i="59"/>
  <c r="E29" i="59" s="1"/>
  <c r="D28" i="59"/>
  <c r="E28" i="59" s="1"/>
  <c r="D27" i="59"/>
  <c r="E27" i="59" s="1"/>
  <c r="D26" i="59"/>
  <c r="E26" i="59" s="1"/>
  <c r="D25" i="59"/>
  <c r="E25" i="59" s="1"/>
  <c r="D24" i="59"/>
  <c r="E24" i="59" s="1"/>
  <c r="E23" i="59"/>
  <c r="H51" i="25"/>
  <c r="F50" i="25"/>
  <c r="F49" i="25"/>
  <c r="F48" i="25"/>
  <c r="F47" i="25"/>
  <c r="F46" i="25"/>
  <c r="F45" i="25"/>
  <c r="F44" i="25"/>
  <c r="F43" i="25"/>
  <c r="F42" i="25"/>
  <c r="F41" i="25"/>
  <c r="F40" i="25"/>
  <c r="F39" i="25"/>
  <c r="F38" i="25"/>
  <c r="F37" i="25"/>
  <c r="H36" i="25" s="1"/>
  <c r="F35" i="25"/>
  <c r="F34" i="25"/>
  <c r="F33" i="25"/>
  <c r="F32" i="25"/>
  <c r="F31" i="25"/>
  <c r="F30" i="25"/>
  <c r="F29" i="25"/>
  <c r="F28" i="25"/>
  <c r="F27" i="25"/>
  <c r="F26" i="25"/>
  <c r="F25" i="25"/>
  <c r="F24" i="25"/>
  <c r="F23" i="25"/>
  <c r="F22" i="25"/>
  <c r="B22" i="25"/>
  <c r="F21" i="25"/>
  <c r="B21" i="25"/>
  <c r="F20" i="25"/>
  <c r="F19" i="25"/>
  <c r="F18" i="25"/>
  <c r="F17" i="25"/>
  <c r="F16" i="25"/>
  <c r="F15" i="25"/>
  <c r="F14" i="25"/>
  <c r="F13" i="25"/>
  <c r="F12" i="25"/>
  <c r="F11" i="25"/>
  <c r="F10" i="25"/>
  <c r="F9" i="25"/>
  <c r="F8" i="25"/>
  <c r="F7" i="25"/>
  <c r="F6" i="25"/>
  <c r="F5" i="25"/>
  <c r="F4" i="25"/>
  <c r="F3" i="25"/>
  <c r="F2" i="25"/>
  <c r="H2" i="25" s="1"/>
  <c r="F26" i="17"/>
  <c r="F25" i="17"/>
  <c r="F24" i="17"/>
  <c r="F23" i="17"/>
  <c r="F22" i="17"/>
  <c r="F21" i="17"/>
  <c r="F20" i="17"/>
  <c r="F19" i="17"/>
  <c r="F18" i="17"/>
  <c r="F17" i="17"/>
  <c r="F16" i="17"/>
  <c r="F15" i="17"/>
  <c r="F13" i="17"/>
  <c r="H4" i="25" l="1"/>
  <c r="H8" i="25"/>
  <c r="H12" i="25"/>
  <c r="H16" i="25"/>
  <c r="H22" i="25"/>
  <c r="H30" i="25"/>
  <c r="H20" i="25"/>
  <c r="H26" i="25"/>
  <c r="H34" i="25"/>
  <c r="H6" i="25"/>
  <c r="H14" i="25"/>
  <c r="H10" i="25"/>
  <c r="H38" i="25"/>
  <c r="H42" i="25"/>
  <c r="H46" i="25"/>
  <c r="H50" i="25"/>
  <c r="H7" i="89"/>
  <c r="H15" i="89" s="1"/>
  <c r="F9" i="89"/>
  <c r="G9" i="89" s="1"/>
  <c r="D10" i="96"/>
  <c r="E16" i="89"/>
  <c r="H40" i="25"/>
  <c r="H44" i="25"/>
  <c r="H48" i="25"/>
  <c r="H18" i="25"/>
  <c r="H21" i="25"/>
  <c r="H28" i="25"/>
  <c r="H32" i="25"/>
  <c r="D6" i="96"/>
  <c r="P22" i="29"/>
  <c r="P26" i="29" s="1"/>
  <c r="P23" i="29"/>
  <c r="P27" i="29" s="1"/>
  <c r="P25" i="29"/>
  <c r="P29" i="29" s="1"/>
  <c r="Q30" i="112"/>
  <c r="Q31" i="112" s="1"/>
  <c r="Q23" i="112"/>
  <c r="M26" i="107"/>
  <c r="M28" i="107" s="1"/>
  <c r="M13" i="107"/>
  <c r="L30" i="107"/>
  <c r="L31" i="107" s="1"/>
  <c r="M22" i="107"/>
  <c r="L23" i="107"/>
  <c r="O27" i="107"/>
  <c r="R11" i="41"/>
  <c r="T10" i="41"/>
  <c r="K12" i="41"/>
  <c r="M11" i="41"/>
  <c r="K4" i="103"/>
  <c r="J13" i="103"/>
  <c r="J26" i="103"/>
  <c r="K11" i="103"/>
  <c r="G17" i="89"/>
  <c r="G10" i="89"/>
  <c r="H9" i="89"/>
  <c r="H17" i="89" s="1"/>
  <c r="G15" i="89"/>
  <c r="H8" i="89"/>
  <c r="H16" i="89" s="1"/>
  <c r="G16" i="89"/>
  <c r="G24" i="96"/>
  <c r="G23" i="96"/>
  <c r="G22" i="96"/>
  <c r="G21" i="96"/>
  <c r="G18" i="96"/>
  <c r="G19" i="96"/>
  <c r="D3" i="96"/>
  <c r="D7" i="96"/>
  <c r="D11" i="96"/>
  <c r="E6" i="89"/>
  <c r="F17" i="89"/>
  <c r="H5" i="25"/>
  <c r="H9" i="25"/>
  <c r="H13" i="25"/>
  <c r="H17" i="25"/>
  <c r="H27" i="25"/>
  <c r="H31" i="25"/>
  <c r="H35" i="25"/>
  <c r="H39" i="25"/>
  <c r="H43" i="25"/>
  <c r="H47" i="25"/>
  <c r="F16" i="89"/>
  <c r="H10" i="89"/>
  <c r="G14" i="89"/>
  <c r="D5" i="96"/>
  <c r="D9" i="96"/>
  <c r="D13" i="96"/>
  <c r="H3" i="25"/>
  <c r="H7" i="25"/>
  <c r="H11" i="25"/>
  <c r="H15" i="25"/>
  <c r="H19" i="25"/>
  <c r="H25" i="25"/>
  <c r="H29" i="25"/>
  <c r="H33" i="25"/>
  <c r="H37" i="25"/>
  <c r="H41" i="25"/>
  <c r="H45" i="25"/>
  <c r="H49" i="25"/>
  <c r="D4" i="96"/>
  <c r="D8" i="96"/>
  <c r="G20" i="96"/>
  <c r="B24" i="25"/>
  <c r="H23" i="25" s="1"/>
  <c r="F12" i="17"/>
  <c r="M38" i="9"/>
  <c r="M23" i="9"/>
  <c r="M22" i="9"/>
  <c r="O22" i="9" s="1"/>
  <c r="M21" i="9"/>
  <c r="O21" i="9" s="1"/>
  <c r="M20" i="9"/>
  <c r="O20" i="9" s="1"/>
  <c r="O19" i="9"/>
  <c r="M19" i="9"/>
  <c r="M18" i="9"/>
  <c r="O18" i="9" s="1"/>
  <c r="M17" i="9"/>
  <c r="O17" i="9" s="1"/>
  <c r="M16" i="9"/>
  <c r="O16" i="9" s="1"/>
  <c r="O15" i="9"/>
  <c r="M15" i="9"/>
  <c r="M14" i="9"/>
  <c r="O14" i="9" s="1"/>
  <c r="M13" i="9"/>
  <c r="O13" i="9" s="1"/>
  <c r="M12" i="9"/>
  <c r="M11" i="9"/>
  <c r="O10" i="9" s="1"/>
  <c r="M10" i="9"/>
  <c r="M9" i="9"/>
  <c r="M8" i="9"/>
  <c r="M7" i="9"/>
  <c r="O6" i="9" s="1"/>
  <c r="M6" i="9"/>
  <c r="M40" i="9" s="1"/>
  <c r="M5" i="9"/>
  <c r="M41" i="9" s="1"/>
  <c r="I5" i="9"/>
  <c r="D5" i="9"/>
  <c r="M4" i="9"/>
  <c r="M42" i="9" s="1"/>
  <c r="M3" i="9"/>
  <c r="M43" i="9" s="1"/>
  <c r="Q20" i="22"/>
  <c r="P20" i="22"/>
  <c r="Q19" i="22"/>
  <c r="P19" i="22"/>
  <c r="R16" i="22" s="1"/>
  <c r="Q16" i="22"/>
  <c r="P16" i="22"/>
  <c r="Q15" i="22"/>
  <c r="P15" i="22"/>
  <c r="R14" i="22" s="1"/>
  <c r="Q14" i="22"/>
  <c r="P14" i="22"/>
  <c r="P68" i="24"/>
  <c r="P65" i="24"/>
  <c r="P61" i="24"/>
  <c r="P60" i="24"/>
  <c r="P56" i="24"/>
  <c r="P52" i="24"/>
  <c r="P48" i="24"/>
  <c r="P45" i="24"/>
  <c r="P41" i="24"/>
  <c r="P37" i="24"/>
  <c r="P34" i="24"/>
  <c r="P31" i="24"/>
  <c r="P29" i="24"/>
  <c r="P26" i="24"/>
  <c r="P23" i="24"/>
  <c r="P20" i="24"/>
  <c r="P17" i="24"/>
  <c r="P14" i="24"/>
  <c r="P12" i="24"/>
  <c r="P9" i="24"/>
  <c r="P7" i="24"/>
  <c r="P5" i="24"/>
  <c r="P3" i="24"/>
  <c r="E8" i="41"/>
  <c r="D6" i="41"/>
  <c r="B6" i="41"/>
  <c r="B7" i="41" s="1"/>
  <c r="F5" i="41"/>
  <c r="P3" i="37"/>
  <c r="O42" i="9" l="1"/>
  <c r="O9" i="9"/>
  <c r="Q22" i="29"/>
  <c r="Q23" i="29"/>
  <c r="Q25" i="29"/>
  <c r="R30" i="112"/>
  <c r="R31" i="112" s="1"/>
  <c r="R23" i="112"/>
  <c r="J5" i="9"/>
  <c r="N13" i="107"/>
  <c r="N26" i="107"/>
  <c r="N28" i="107" s="1"/>
  <c r="N22" i="107"/>
  <c r="M30" i="107"/>
  <c r="M31" i="107" s="1"/>
  <c r="M23" i="107"/>
  <c r="P27" i="107"/>
  <c r="R12" i="41"/>
  <c r="T11" i="41"/>
  <c r="K13" i="41"/>
  <c r="M12" i="41"/>
  <c r="L4" i="103"/>
  <c r="K13" i="103"/>
  <c r="K26" i="103"/>
  <c r="O40" i="9"/>
  <c r="F6" i="41"/>
  <c r="B8" i="41"/>
  <c r="B10" i="41" s="1"/>
  <c r="B11" i="41" s="1"/>
  <c r="B12" i="41" s="1"/>
  <c r="B13" i="41" s="1"/>
  <c r="B14" i="41" s="1"/>
  <c r="B15" i="41" s="1"/>
  <c r="B16" i="41" s="1"/>
  <c r="B17" i="41" s="1"/>
  <c r="F6" i="89"/>
  <c r="E14" i="89"/>
  <c r="E7" i="89"/>
  <c r="O3" i="9"/>
  <c r="O7" i="9"/>
  <c r="O11" i="9"/>
  <c r="M36" i="9"/>
  <c r="O43" i="9"/>
  <c r="I6" i="9"/>
  <c r="O41" i="9"/>
  <c r="M35" i="9"/>
  <c r="M39" i="9"/>
  <c r="O38" i="9" s="1"/>
  <c r="R15" i="22"/>
  <c r="O4" i="9"/>
  <c r="D6" i="9"/>
  <c r="O5" i="9" s="1"/>
  <c r="O8" i="9"/>
  <c r="O12" i="9"/>
  <c r="M37" i="9"/>
  <c r="O37" i="9" s="1"/>
  <c r="B25" i="25"/>
  <c r="H24" i="25" s="1"/>
  <c r="O35" i="9" l="1"/>
  <c r="R22" i="29"/>
  <c r="R26" i="29" s="1"/>
  <c r="R23" i="29"/>
  <c r="R27" i="29" s="1"/>
  <c r="R25" i="29"/>
  <c r="R29" i="29" s="1"/>
  <c r="S30" i="112"/>
  <c r="S31" i="112" s="1"/>
  <c r="S23" i="112"/>
  <c r="C23" i="112" s="1"/>
  <c r="C22" i="112"/>
  <c r="O13" i="107"/>
  <c r="O26" i="107"/>
  <c r="O28" i="107" s="1"/>
  <c r="O22" i="107"/>
  <c r="N30" i="107"/>
  <c r="N31" i="107" s="1"/>
  <c r="N23" i="107"/>
  <c r="Q27" i="107"/>
  <c r="R13" i="41"/>
  <c r="T12" i="41"/>
  <c r="K14" i="41"/>
  <c r="M13" i="41"/>
  <c r="M4" i="103"/>
  <c r="L13" i="103"/>
  <c r="L26" i="103"/>
  <c r="E15" i="89"/>
  <c r="E10" i="89"/>
  <c r="O36" i="9"/>
  <c r="O39" i="9"/>
  <c r="F14" i="89"/>
  <c r="F7" i="89"/>
  <c r="F33" i="113" l="1"/>
  <c r="F27" i="113" s="1"/>
  <c r="S22" i="29"/>
  <c r="S23" i="29"/>
  <c r="S25" i="29"/>
  <c r="U33" i="112"/>
  <c r="V25" i="112"/>
  <c r="V29" i="112"/>
  <c r="V23" i="112"/>
  <c r="V30" i="112"/>
  <c r="V28" i="112"/>
  <c r="V27" i="112"/>
  <c r="V26" i="112"/>
  <c r="V24" i="112"/>
  <c r="V31" i="112"/>
  <c r="C30" i="112"/>
  <c r="C31" i="112" s="1"/>
  <c r="Q11" i="107"/>
  <c r="P13" i="107"/>
  <c r="P26" i="107"/>
  <c r="P28" i="107" s="1"/>
  <c r="P22" i="107"/>
  <c r="O30" i="107"/>
  <c r="O31" i="107" s="1"/>
  <c r="O23" i="107"/>
  <c r="R27" i="107"/>
  <c r="R14" i="41"/>
  <c r="T13" i="41"/>
  <c r="K15" i="41"/>
  <c r="M14" i="41"/>
  <c r="N4" i="103"/>
  <c r="N11" i="103"/>
  <c r="M26" i="103"/>
  <c r="M13" i="103"/>
  <c r="F15" i="89"/>
  <c r="F10" i="89"/>
  <c r="B25" i="29"/>
  <c r="B29" i="29" s="1"/>
  <c r="B23" i="29"/>
  <c r="B27" i="29" s="1"/>
  <c r="B22" i="29"/>
  <c r="B26" i="29" s="1"/>
  <c r="F27" i="119" l="1"/>
  <c r="T22" i="29"/>
  <c r="T26" i="29" s="1"/>
  <c r="T23" i="29"/>
  <c r="T27" i="29" s="1"/>
  <c r="T25" i="29"/>
  <c r="T29" i="29" s="1"/>
  <c r="V32" i="112"/>
  <c r="Q26" i="107"/>
  <c r="Q28" i="107" s="1"/>
  <c r="Q13" i="107"/>
  <c r="P30" i="107"/>
  <c r="P31" i="107" s="1"/>
  <c r="Q22" i="107"/>
  <c r="P23" i="107"/>
  <c r="S27" i="107"/>
  <c r="C15" i="107"/>
  <c r="F29" i="108" s="1"/>
  <c r="R15" i="41"/>
  <c r="T14" i="41"/>
  <c r="K16" i="41"/>
  <c r="M15" i="41"/>
  <c r="O4" i="103"/>
  <c r="N13" i="103"/>
  <c r="O11" i="103"/>
  <c r="N26" i="103"/>
  <c r="P12" i="29"/>
  <c r="E12" i="29"/>
  <c r="P11" i="29"/>
  <c r="E11" i="29"/>
  <c r="P10" i="29"/>
  <c r="E10" i="29"/>
  <c r="P9" i="29"/>
  <c r="E9" i="29"/>
  <c r="P8" i="29"/>
  <c r="P7" i="29"/>
  <c r="J7" i="29"/>
  <c r="I7" i="29"/>
  <c r="G7" i="29"/>
  <c r="E7" i="29"/>
  <c r="P6" i="29"/>
  <c r="J6" i="29"/>
  <c r="I6" i="29"/>
  <c r="G6" i="29"/>
  <c r="E6" i="29"/>
  <c r="P5" i="29"/>
  <c r="J5" i="29"/>
  <c r="I5" i="29"/>
  <c r="G5" i="29"/>
  <c r="E5" i="29"/>
  <c r="P4" i="29"/>
  <c r="J4" i="29"/>
  <c r="I4" i="29"/>
  <c r="G4" i="29"/>
  <c r="E4" i="29"/>
  <c r="P3" i="29"/>
  <c r="C3" i="29"/>
  <c r="C11" i="29" s="1"/>
  <c r="B3" i="29"/>
  <c r="P2" i="29"/>
  <c r="G65" i="53"/>
  <c r="F65" i="53"/>
  <c r="D65" i="53"/>
  <c r="C65" i="53"/>
  <c r="G64" i="53"/>
  <c r="F64" i="53"/>
  <c r="D64" i="53"/>
  <c r="C64" i="53"/>
  <c r="G63" i="53"/>
  <c r="F63" i="53"/>
  <c r="D63" i="53"/>
  <c r="C63" i="53"/>
  <c r="G62" i="53"/>
  <c r="F62" i="53"/>
  <c r="D62" i="53"/>
  <c r="C62" i="53"/>
  <c r="G61" i="53"/>
  <c r="F61" i="53"/>
  <c r="D61" i="53"/>
  <c r="C61" i="53"/>
  <c r="G60" i="53"/>
  <c r="F60" i="53"/>
  <c r="D60" i="53"/>
  <c r="C60" i="53"/>
  <c r="G59" i="53"/>
  <c r="F59" i="53"/>
  <c r="D59" i="53"/>
  <c r="C59" i="53"/>
  <c r="G58" i="53"/>
  <c r="F58" i="53"/>
  <c r="D58" i="53"/>
  <c r="C58" i="53"/>
  <c r="G57" i="53"/>
  <c r="F57" i="53"/>
  <c r="D57" i="53"/>
  <c r="C57" i="53"/>
  <c r="G56" i="53"/>
  <c r="F56" i="53"/>
  <c r="D56" i="53"/>
  <c r="C56" i="53"/>
  <c r="G55" i="53"/>
  <c r="F55" i="53"/>
  <c r="D55" i="53"/>
  <c r="C55" i="53"/>
  <c r="G54" i="53"/>
  <c r="F54" i="53"/>
  <c r="D54" i="53"/>
  <c r="C54" i="53"/>
  <c r="G53" i="53"/>
  <c r="F53" i="53"/>
  <c r="D53" i="53"/>
  <c r="C53" i="53"/>
  <c r="G52" i="53"/>
  <c r="F52" i="53"/>
  <c r="D52" i="53"/>
  <c r="C52" i="53"/>
  <c r="G51" i="53"/>
  <c r="F51" i="53"/>
  <c r="D51" i="53"/>
  <c r="C51" i="53"/>
  <c r="G50" i="53"/>
  <c r="F50" i="53"/>
  <c r="D50" i="53"/>
  <c r="C50" i="53"/>
  <c r="G49" i="53"/>
  <c r="F49" i="53"/>
  <c r="D49" i="53"/>
  <c r="C49" i="53"/>
  <c r="G48" i="53"/>
  <c r="F48" i="53"/>
  <c r="D48" i="53"/>
  <c r="C48" i="53"/>
  <c r="G47" i="53"/>
  <c r="F47" i="53"/>
  <c r="D47" i="53"/>
  <c r="C47" i="53"/>
  <c r="G46" i="53"/>
  <c r="F46" i="53"/>
  <c r="D46" i="53"/>
  <c r="C46" i="53"/>
  <c r="G45" i="53"/>
  <c r="F45" i="53"/>
  <c r="D45" i="53"/>
  <c r="C45" i="53"/>
  <c r="G44" i="53"/>
  <c r="F44" i="53"/>
  <c r="D44" i="53"/>
  <c r="C44" i="53"/>
  <c r="G43" i="53"/>
  <c r="F43" i="53"/>
  <c r="D43" i="53"/>
  <c r="C43" i="53"/>
  <c r="G42" i="53"/>
  <c r="F42" i="53"/>
  <c r="D42" i="53"/>
  <c r="C42" i="53"/>
  <c r="G41" i="53"/>
  <c r="F41" i="53"/>
  <c r="D41" i="53"/>
  <c r="C41" i="53"/>
  <c r="G40" i="53"/>
  <c r="F40" i="53"/>
  <c r="D40" i="53"/>
  <c r="C40" i="53"/>
  <c r="G39" i="53"/>
  <c r="F39" i="53"/>
  <c r="D39" i="53"/>
  <c r="C39" i="53"/>
  <c r="G38" i="53"/>
  <c r="F38" i="53"/>
  <c r="D38" i="53"/>
  <c r="C38" i="53"/>
  <c r="G37" i="53"/>
  <c r="F37" i="53"/>
  <c r="D37" i="53"/>
  <c r="C37" i="53"/>
  <c r="G36" i="53"/>
  <c r="F36" i="53"/>
  <c r="D36" i="53"/>
  <c r="C36" i="53"/>
  <c r="G35" i="53"/>
  <c r="F35" i="53"/>
  <c r="D35" i="53"/>
  <c r="C35" i="53"/>
  <c r="G34" i="53"/>
  <c r="F34" i="53"/>
  <c r="D34" i="53"/>
  <c r="C34" i="53"/>
  <c r="G33" i="53"/>
  <c r="F33" i="53"/>
  <c r="D33" i="53"/>
  <c r="C33" i="53"/>
  <c r="G32" i="53"/>
  <c r="F32" i="53"/>
  <c r="D32" i="53"/>
  <c r="C32" i="53"/>
  <c r="G31" i="53"/>
  <c r="F31" i="53"/>
  <c r="D31" i="53"/>
  <c r="C31" i="53"/>
  <c r="G30" i="53"/>
  <c r="F30" i="53"/>
  <c r="D30" i="53"/>
  <c r="C30" i="53"/>
  <c r="G29" i="53"/>
  <c r="F29" i="53"/>
  <c r="D29" i="53"/>
  <c r="C29" i="53"/>
  <c r="G28" i="53"/>
  <c r="F28" i="53"/>
  <c r="D28" i="53"/>
  <c r="C28" i="53"/>
  <c r="G27" i="53"/>
  <c r="F27" i="53"/>
  <c r="D27" i="53"/>
  <c r="C27" i="53"/>
  <c r="G26" i="53"/>
  <c r="F26" i="53"/>
  <c r="D26" i="53"/>
  <c r="C26" i="53"/>
  <c r="G25" i="53"/>
  <c r="F25" i="53"/>
  <c r="D25" i="53"/>
  <c r="C25" i="53"/>
  <c r="G24" i="53"/>
  <c r="F24" i="53"/>
  <c r="D24" i="53"/>
  <c r="C24" i="53"/>
  <c r="G23" i="53"/>
  <c r="F23" i="53"/>
  <c r="D23" i="53"/>
  <c r="C23" i="53"/>
  <c r="G22" i="53"/>
  <c r="F22" i="53"/>
  <c r="D22" i="53"/>
  <c r="C22" i="53"/>
  <c r="G21" i="53"/>
  <c r="F21" i="53"/>
  <c r="D21" i="53"/>
  <c r="C21" i="53"/>
  <c r="G20" i="53"/>
  <c r="F20" i="53"/>
  <c r="D20" i="53"/>
  <c r="C20" i="53"/>
  <c r="G19" i="53"/>
  <c r="F19" i="53"/>
  <c r="D19" i="53"/>
  <c r="C19" i="53"/>
  <c r="G18" i="53"/>
  <c r="F18" i="53"/>
  <c r="D18" i="53"/>
  <c r="C18" i="53"/>
  <c r="G17" i="53"/>
  <c r="F17" i="53"/>
  <c r="D17" i="53"/>
  <c r="C17" i="53"/>
  <c r="G16" i="53"/>
  <c r="F16" i="53"/>
  <c r="D16" i="53"/>
  <c r="C16" i="53"/>
  <c r="G15" i="53"/>
  <c r="F15" i="53"/>
  <c r="D15" i="53"/>
  <c r="C15" i="53"/>
  <c r="G14" i="53"/>
  <c r="F14" i="53"/>
  <c r="D14" i="53"/>
  <c r="C14" i="53"/>
  <c r="G13" i="53"/>
  <c r="F13" i="53"/>
  <c r="D13" i="53"/>
  <c r="C13" i="53"/>
  <c r="G12" i="53"/>
  <c r="F12" i="53"/>
  <c r="D12" i="53"/>
  <c r="C12" i="53"/>
  <c r="G11" i="53"/>
  <c r="F11" i="53"/>
  <c r="D11" i="53"/>
  <c r="C11" i="53"/>
  <c r="G10" i="53"/>
  <c r="F10" i="53"/>
  <c r="D10" i="53"/>
  <c r="C10" i="53"/>
  <c r="G9" i="53"/>
  <c r="F9" i="53"/>
  <c r="D9" i="53"/>
  <c r="C9" i="53"/>
  <c r="G8" i="53"/>
  <c r="F8" i="53"/>
  <c r="D8" i="53"/>
  <c r="C8" i="53"/>
  <c r="G7" i="53"/>
  <c r="F7" i="53"/>
  <c r="D7" i="53"/>
  <c r="C7" i="53"/>
  <c r="G6" i="53"/>
  <c r="F6" i="53"/>
  <c r="D6" i="53"/>
  <c r="C6" i="53"/>
  <c r="G5" i="53"/>
  <c r="F5" i="53"/>
  <c r="D5" i="53"/>
  <c r="C5" i="53"/>
  <c r="G4" i="53"/>
  <c r="F4" i="53"/>
  <c r="D4" i="53"/>
  <c r="C4" i="53"/>
  <c r="G3" i="53"/>
  <c r="F3" i="53"/>
  <c r="D3" i="53"/>
  <c r="C3" i="53"/>
  <c r="P52" i="99"/>
  <c r="O52" i="99"/>
  <c r="P51" i="99"/>
  <c r="O51" i="99"/>
  <c r="P50" i="99"/>
  <c r="O50" i="99"/>
  <c r="P49" i="99"/>
  <c r="O49" i="99"/>
  <c r="P48" i="99"/>
  <c r="O48" i="99"/>
  <c r="P47" i="99"/>
  <c r="O47" i="99"/>
  <c r="P46" i="99"/>
  <c r="N46" i="99"/>
  <c r="P45" i="99"/>
  <c r="N45" i="99"/>
  <c r="P44" i="99"/>
  <c r="N44" i="99"/>
  <c r="O44" i="99" s="1"/>
  <c r="Q44" i="99" s="1"/>
  <c r="P43" i="99"/>
  <c r="O43" i="99"/>
  <c r="P42" i="99"/>
  <c r="O42" i="99"/>
  <c r="P41" i="99"/>
  <c r="O41" i="99"/>
  <c r="P40" i="99"/>
  <c r="N40" i="99"/>
  <c r="P39" i="99"/>
  <c r="N39" i="99"/>
  <c r="P38" i="99"/>
  <c r="N38" i="99"/>
  <c r="O38" i="99" s="1"/>
  <c r="Q38" i="99" s="1"/>
  <c r="P37" i="99"/>
  <c r="O37" i="99"/>
  <c r="P36" i="99"/>
  <c r="O36" i="99"/>
  <c r="P35" i="99"/>
  <c r="O35" i="99"/>
  <c r="P34" i="99"/>
  <c r="O34" i="99"/>
  <c r="C24" i="29" l="1"/>
  <c r="D24" i="29"/>
  <c r="D28" i="29" s="1"/>
  <c r="E24" i="29"/>
  <c r="F24" i="29"/>
  <c r="F28" i="29" s="1"/>
  <c r="G24" i="29"/>
  <c r="H24" i="29"/>
  <c r="H28" i="29" s="1"/>
  <c r="I24" i="29"/>
  <c r="J24" i="29"/>
  <c r="J28" i="29" s="1"/>
  <c r="K24" i="29"/>
  <c r="L24" i="29"/>
  <c r="L28" i="29" s="1"/>
  <c r="M24" i="29"/>
  <c r="N24" i="29"/>
  <c r="N28" i="29" s="1"/>
  <c r="O24" i="29"/>
  <c r="P24" i="29"/>
  <c r="P28" i="29" s="1"/>
  <c r="Q24" i="29"/>
  <c r="R24" i="29"/>
  <c r="R28" i="29" s="1"/>
  <c r="S24" i="29"/>
  <c r="T24" i="29"/>
  <c r="T28" i="29" s="1"/>
  <c r="U22" i="29"/>
  <c r="U23" i="29"/>
  <c r="U24" i="29"/>
  <c r="U25" i="29"/>
  <c r="R26" i="107"/>
  <c r="R28" i="107" s="1"/>
  <c r="R13" i="107"/>
  <c r="R22" i="107"/>
  <c r="Q30" i="107"/>
  <c r="Q31" i="107" s="1"/>
  <c r="Q23" i="107"/>
  <c r="C27" i="107"/>
  <c r="P4" i="103"/>
  <c r="R16" i="41"/>
  <c r="T15" i="41"/>
  <c r="K17" i="41"/>
  <c r="M17" i="41" s="1"/>
  <c r="M16" i="41"/>
  <c r="O26" i="103"/>
  <c r="O13" i="103"/>
  <c r="J8" i="29"/>
  <c r="Q51" i="99"/>
  <c r="T51" i="99"/>
  <c r="Q42" i="99"/>
  <c r="T42" i="99"/>
  <c r="Q50" i="99"/>
  <c r="T50" i="99"/>
  <c r="T35" i="99"/>
  <c r="Q35" i="99"/>
  <c r="T41" i="99"/>
  <c r="Q41" i="99"/>
  <c r="T34" i="99"/>
  <c r="Q34" i="99"/>
  <c r="Q36" i="99"/>
  <c r="T36" i="99"/>
  <c r="T43" i="99"/>
  <c r="Q43" i="99"/>
  <c r="B30" i="29"/>
  <c r="C8" i="29"/>
  <c r="C9" i="29"/>
  <c r="C10" i="29"/>
  <c r="B12" i="29"/>
  <c r="B13" i="29" s="1"/>
  <c r="Q37" i="99"/>
  <c r="T37" i="99"/>
  <c r="T48" i="99"/>
  <c r="Q48" i="99"/>
  <c r="T38" i="99"/>
  <c r="O39" i="99"/>
  <c r="Q39" i="99" s="1"/>
  <c r="O40" i="99"/>
  <c r="Q40" i="99" s="1"/>
  <c r="T44" i="99"/>
  <c r="O45" i="99"/>
  <c r="Q45" i="99" s="1"/>
  <c r="O46" i="99"/>
  <c r="Q46" i="99" s="1"/>
  <c r="P33" i="99"/>
  <c r="O33" i="99"/>
  <c r="P32" i="99"/>
  <c r="O32" i="99"/>
  <c r="P31" i="99"/>
  <c r="O31" i="99"/>
  <c r="P30" i="99"/>
  <c r="O30" i="99"/>
  <c r="V22" i="29" l="1"/>
  <c r="V26" i="29" s="1"/>
  <c r="V23" i="29"/>
  <c r="V27" i="29" s="1"/>
  <c r="V24" i="29"/>
  <c r="V28" i="29" s="1"/>
  <c r="V25" i="29"/>
  <c r="V29" i="29" s="1"/>
  <c r="S22" i="107"/>
  <c r="R30" i="107"/>
  <c r="R31" i="107" s="1"/>
  <c r="R23" i="107"/>
  <c r="Q4" i="103"/>
  <c r="R17" i="41"/>
  <c r="T17" i="41" s="1"/>
  <c r="T16" i="41"/>
  <c r="P26" i="103"/>
  <c r="P13" i="103"/>
  <c r="Q11" i="103"/>
  <c r="C15" i="103"/>
  <c r="F29" i="104" s="1"/>
  <c r="T30" i="99"/>
  <c r="Q30" i="99"/>
  <c r="Q32" i="99"/>
  <c r="T32" i="99"/>
  <c r="T33" i="99"/>
  <c r="Q33" i="99"/>
  <c r="T39" i="99"/>
  <c r="T46" i="99"/>
  <c r="B24" i="29"/>
  <c r="B17" i="29"/>
  <c r="T45" i="99"/>
  <c r="T40" i="99"/>
  <c r="F16" i="99"/>
  <c r="B10" i="29"/>
  <c r="C17" i="29"/>
  <c r="Q31" i="99"/>
  <c r="T31" i="99"/>
  <c r="P29" i="99"/>
  <c r="N29" i="99"/>
  <c r="O29" i="99" s="1"/>
  <c r="P28" i="99"/>
  <c r="O28" i="99"/>
  <c r="P27" i="99"/>
  <c r="O27" i="99"/>
  <c r="P26" i="99"/>
  <c r="O26" i="99"/>
  <c r="P25" i="99"/>
  <c r="O25" i="99"/>
  <c r="P24" i="99"/>
  <c r="O24" i="99"/>
  <c r="P23" i="99"/>
  <c r="O23" i="99"/>
  <c r="P22" i="99"/>
  <c r="O22" i="99"/>
  <c r="P21" i="99"/>
  <c r="O21" i="99"/>
  <c r="F21" i="99"/>
  <c r="P20" i="99"/>
  <c r="O20" i="99"/>
  <c r="P19" i="99"/>
  <c r="O19" i="99"/>
  <c r="P18" i="99"/>
  <c r="O18" i="99"/>
  <c r="C18" i="99"/>
  <c r="P17" i="99"/>
  <c r="O17" i="99"/>
  <c r="W22" i="29" l="1"/>
  <c r="W23" i="29"/>
  <c r="W24" i="29"/>
  <c r="W25" i="29"/>
  <c r="S13" i="112"/>
  <c r="C13" i="112" s="1"/>
  <c r="S26" i="112"/>
  <c r="S28" i="112" s="1"/>
  <c r="C11" i="112"/>
  <c r="B28" i="29"/>
  <c r="B31" i="29" s="1"/>
  <c r="S30" i="107"/>
  <c r="S31" i="107" s="1"/>
  <c r="C22" i="107"/>
  <c r="F33" i="108" s="1"/>
  <c r="F27" i="108" s="1"/>
  <c r="S23" i="107"/>
  <c r="C23" i="107" s="1"/>
  <c r="R11" i="103"/>
  <c r="Q13" i="103"/>
  <c r="Q26" i="103"/>
  <c r="R4" i="103"/>
  <c r="Q22" i="99"/>
  <c r="T22" i="99"/>
  <c r="T21" i="99"/>
  <c r="Q21" i="99"/>
  <c r="T23" i="99"/>
  <c r="Q23" i="99"/>
  <c r="C19" i="99"/>
  <c r="C17" i="99" s="1"/>
  <c r="Q28" i="99"/>
  <c r="T28" i="99"/>
  <c r="Q27" i="99"/>
  <c r="T27" i="99"/>
  <c r="D17" i="29"/>
  <c r="T29" i="99"/>
  <c r="Q29" i="99"/>
  <c r="P16" i="99"/>
  <c r="O16" i="99"/>
  <c r="P15" i="99"/>
  <c r="O15" i="99"/>
  <c r="P14" i="99"/>
  <c r="O14" i="99"/>
  <c r="P13" i="99"/>
  <c r="O13" i="99"/>
  <c r="P12" i="99"/>
  <c r="O12" i="99"/>
  <c r="O11" i="99"/>
  <c r="P10" i="99"/>
  <c r="O10" i="99"/>
  <c r="P9" i="99"/>
  <c r="O9" i="99"/>
  <c r="P8" i="99"/>
  <c r="O8" i="99"/>
  <c r="C22" i="119" l="1"/>
  <c r="X22" i="29"/>
  <c r="X26" i="29" s="1"/>
  <c r="X23" i="29"/>
  <c r="X27" i="29" s="1"/>
  <c r="X24" i="29"/>
  <c r="X28" i="29" s="1"/>
  <c r="X25" i="29"/>
  <c r="X29" i="29" s="1"/>
  <c r="V6" i="112"/>
  <c r="U14" i="112"/>
  <c r="V8" i="112"/>
  <c r="V10" i="112"/>
  <c r="V7" i="112"/>
  <c r="V12" i="112"/>
  <c r="V9" i="112"/>
  <c r="C23" i="113"/>
  <c r="C22" i="113" s="1"/>
  <c r="V11" i="112"/>
  <c r="C26" i="112"/>
  <c r="C28" i="112" s="1"/>
  <c r="C30" i="107"/>
  <c r="C31" i="107" s="1"/>
  <c r="V31" i="107"/>
  <c r="V30" i="107"/>
  <c r="V24" i="107"/>
  <c r="V23" i="107"/>
  <c r="V29" i="107"/>
  <c r="V25" i="107"/>
  <c r="V26" i="107"/>
  <c r="U33" i="107"/>
  <c r="V28" i="107"/>
  <c r="V27" i="107"/>
  <c r="R13" i="103"/>
  <c r="R26" i="103"/>
  <c r="S4" i="103"/>
  <c r="Q10" i="99"/>
  <c r="T10" i="99"/>
  <c r="T14" i="99"/>
  <c r="Q14" i="99"/>
  <c r="E17" i="29"/>
  <c r="P7" i="99"/>
  <c r="C14" i="99" s="1"/>
  <c r="O7" i="99"/>
  <c r="P6" i="99"/>
  <c r="O6" i="99"/>
  <c r="D4" i="107" l="1"/>
  <c r="E4" i="107" s="1"/>
  <c r="F4" i="107" s="1"/>
  <c r="G4" i="107" s="1"/>
  <c r="H4" i="107" s="1"/>
  <c r="I4" i="107" s="1"/>
  <c r="J4" i="107" s="1"/>
  <c r="K4" i="107" s="1"/>
  <c r="L4" i="107" s="1"/>
  <c r="M4" i="107" s="1"/>
  <c r="N4" i="107" s="1"/>
  <c r="O4" i="107" s="1"/>
  <c r="P4" i="107" s="1"/>
  <c r="Q4" i="107" s="1"/>
  <c r="R4" i="107" s="1"/>
  <c r="S4" i="107" s="1"/>
  <c r="S11" i="103"/>
  <c r="C11" i="103" s="1"/>
  <c r="Y22" i="29"/>
  <c r="Y23" i="29"/>
  <c r="Y24" i="29"/>
  <c r="Y25" i="29"/>
  <c r="V13" i="112"/>
  <c r="V32" i="107"/>
  <c r="T6" i="99"/>
  <c r="Q6" i="99"/>
  <c r="F17" i="29"/>
  <c r="P5" i="99"/>
  <c r="O5" i="99"/>
  <c r="P4" i="99"/>
  <c r="O4" i="99"/>
  <c r="C23" i="104" l="1"/>
  <c r="C22" i="104" s="1"/>
  <c r="C26" i="103"/>
  <c r="S26" i="103"/>
  <c r="S11" i="107"/>
  <c r="D4" i="112"/>
  <c r="E4" i="112" s="1"/>
  <c r="F4" i="112" s="1"/>
  <c r="G4" i="112" s="1"/>
  <c r="H4" i="112" s="1"/>
  <c r="I4" i="112" s="1"/>
  <c r="J4" i="112" s="1"/>
  <c r="K4" i="112" s="1"/>
  <c r="L4" i="112" s="1"/>
  <c r="M4" i="112" s="1"/>
  <c r="N4" i="112" s="1"/>
  <c r="O4" i="112" s="1"/>
  <c r="P4" i="112" s="1"/>
  <c r="Q4" i="112" s="1"/>
  <c r="R4" i="112" s="1"/>
  <c r="S4" i="112" s="1"/>
  <c r="S13" i="103"/>
  <c r="C13" i="103" s="1"/>
  <c r="Z9" i="103" s="1"/>
  <c r="Z22" i="29"/>
  <c r="Z26" i="29" s="1"/>
  <c r="Z23" i="29"/>
  <c r="Z27" i="29" s="1"/>
  <c r="Z24" i="29"/>
  <c r="Z28" i="29" s="1"/>
  <c r="Z25" i="29"/>
  <c r="Z29" i="29" s="1"/>
  <c r="Z12" i="103"/>
  <c r="Z6" i="103"/>
  <c r="Y14" i="103"/>
  <c r="Z11" i="103"/>
  <c r="T5" i="99"/>
  <c r="Q5" i="99"/>
  <c r="C13" i="99"/>
  <c r="G17" i="29"/>
  <c r="Z7" i="103" l="1"/>
  <c r="Z8" i="103"/>
  <c r="Z10" i="103"/>
  <c r="S13" i="107"/>
  <c r="C13" i="107" s="1"/>
  <c r="C11" i="107"/>
  <c r="S26" i="107"/>
  <c r="S28" i="107" s="1"/>
  <c r="AA22" i="29"/>
  <c r="AA23" i="29"/>
  <c r="AA24" i="29"/>
  <c r="AA25" i="29"/>
  <c r="Z13" i="103"/>
  <c r="H17" i="29"/>
  <c r="S30" i="98"/>
  <c r="R30" i="98"/>
  <c r="Q30" i="98"/>
  <c r="P30" i="98"/>
  <c r="O30" i="98"/>
  <c r="N30" i="98"/>
  <c r="M30" i="98"/>
  <c r="L30" i="98"/>
  <c r="K30" i="98"/>
  <c r="J30" i="98"/>
  <c r="I30" i="98"/>
  <c r="H30" i="98"/>
  <c r="G30" i="98"/>
  <c r="F30" i="98"/>
  <c r="E30" i="98"/>
  <c r="D30" i="98"/>
  <c r="U14" i="107" l="1"/>
  <c r="V10" i="107"/>
  <c r="V6" i="107"/>
  <c r="V7" i="107"/>
  <c r="V8" i="107"/>
  <c r="V9" i="107"/>
  <c r="V12" i="107"/>
  <c r="C23" i="108"/>
  <c r="C22" i="108" s="1"/>
  <c r="V11" i="107"/>
  <c r="C26" i="107"/>
  <c r="C28" i="107" s="1"/>
  <c r="AB22" i="29"/>
  <c r="AB26" i="29" s="1"/>
  <c r="AB23" i="29"/>
  <c r="AB27" i="29" s="1"/>
  <c r="AB24" i="29"/>
  <c r="AB28" i="29" s="1"/>
  <c r="AB25" i="29"/>
  <c r="AB29" i="29" s="1"/>
  <c r="I17" i="29"/>
  <c r="S29" i="98"/>
  <c r="R29" i="98"/>
  <c r="Q29" i="98"/>
  <c r="P29" i="98"/>
  <c r="O29" i="98"/>
  <c r="N29" i="98"/>
  <c r="M29" i="98"/>
  <c r="L29" i="98"/>
  <c r="K29" i="98"/>
  <c r="J29" i="98"/>
  <c r="I29" i="98"/>
  <c r="H29" i="98"/>
  <c r="G29" i="98"/>
  <c r="F29" i="98"/>
  <c r="E29" i="98"/>
  <c r="D29" i="98"/>
  <c r="D31" i="98" s="1"/>
  <c r="V13" i="107" l="1"/>
  <c r="AC22" i="29"/>
  <c r="AC23" i="29"/>
  <c r="AC24" i="29"/>
  <c r="AC25" i="29"/>
  <c r="J17" i="29"/>
  <c r="E26" i="98"/>
  <c r="D26" i="98"/>
  <c r="C22" i="98"/>
  <c r="B22" i="98"/>
  <c r="C20" i="98"/>
  <c r="F25" i="99" s="1"/>
  <c r="C19" i="98"/>
  <c r="AD22" i="29" l="1"/>
  <c r="AD26" i="29" s="1"/>
  <c r="AD23" i="29"/>
  <c r="AD27" i="29" s="1"/>
  <c r="AD24" i="29"/>
  <c r="AD28" i="29" s="1"/>
  <c r="AD25" i="29"/>
  <c r="AD29" i="29" s="1"/>
  <c r="K17" i="29"/>
  <c r="B18" i="98"/>
  <c r="D17" i="98"/>
  <c r="B17" i="98"/>
  <c r="C16" i="98"/>
  <c r="R15" i="98"/>
  <c r="S15" i="98" s="1"/>
  <c r="L17" i="29" l="1"/>
  <c r="C30" i="98"/>
  <c r="F24" i="99"/>
  <c r="F23" i="99" s="1"/>
  <c r="B15" i="98"/>
  <c r="B14" i="98"/>
  <c r="E13" i="98"/>
  <c r="D13" i="98"/>
  <c r="C12" i="98"/>
  <c r="C10" i="98"/>
  <c r="C9" i="98"/>
  <c r="C8" i="98"/>
  <c r="C29" i="98" l="1"/>
  <c r="C31" i="98" s="1"/>
  <c r="M17" i="29"/>
  <c r="C6" i="98"/>
  <c r="N17" i="29" l="1"/>
  <c r="E4" i="98"/>
  <c r="P80" i="74"/>
  <c r="O80" i="74"/>
  <c r="O17" i="29" l="1"/>
  <c r="P79" i="74"/>
  <c r="O79" i="74"/>
  <c r="P78" i="74"/>
  <c r="O78" i="74"/>
  <c r="P77" i="74"/>
  <c r="O77" i="74"/>
  <c r="P76" i="74"/>
  <c r="O76" i="74"/>
  <c r="P75" i="74"/>
  <c r="O75" i="74"/>
  <c r="P74" i="74"/>
  <c r="O74" i="74"/>
  <c r="P73" i="74"/>
  <c r="O73" i="74"/>
  <c r="P72" i="74"/>
  <c r="O72" i="74"/>
  <c r="P71" i="74"/>
  <c r="O71" i="74"/>
  <c r="P70" i="74"/>
  <c r="O70" i="74"/>
  <c r="P69" i="74"/>
  <c r="O69" i="74"/>
  <c r="P68" i="74"/>
  <c r="O68" i="74"/>
  <c r="P67" i="74"/>
  <c r="O67" i="74"/>
  <c r="P66" i="74"/>
  <c r="O66" i="74"/>
  <c r="P65" i="74"/>
  <c r="O65" i="74"/>
  <c r="P64" i="74"/>
  <c r="O64" i="74"/>
  <c r="P63" i="74"/>
  <c r="O63" i="74"/>
  <c r="P62" i="74"/>
  <c r="O62" i="74"/>
  <c r="P61" i="74"/>
  <c r="O61" i="74"/>
  <c r="P60" i="74"/>
  <c r="O60" i="74"/>
  <c r="P59" i="74"/>
  <c r="O59" i="74"/>
  <c r="P58" i="74"/>
  <c r="O58" i="74"/>
  <c r="P57" i="74"/>
  <c r="O57" i="74"/>
  <c r="P56" i="74"/>
  <c r="O56" i="74"/>
  <c r="P55" i="74"/>
  <c r="O55" i="74"/>
  <c r="P54" i="74"/>
  <c r="O54" i="74"/>
  <c r="S53" i="74"/>
  <c r="P53" i="74"/>
  <c r="N53" i="74"/>
  <c r="O53" i="74" s="1"/>
  <c r="S52" i="74"/>
  <c r="P52" i="74"/>
  <c r="N52" i="74"/>
  <c r="O52" i="74" s="1"/>
  <c r="P51" i="74"/>
  <c r="N51" i="74"/>
  <c r="O51" i="74" s="1"/>
  <c r="P50" i="74"/>
  <c r="O50" i="74"/>
  <c r="P49" i="74"/>
  <c r="O49" i="74"/>
  <c r="P48" i="74"/>
  <c r="O48" i="74"/>
  <c r="P47" i="74"/>
  <c r="O47" i="74"/>
  <c r="P46" i="74"/>
  <c r="N46" i="74"/>
  <c r="O46" i="74" s="1"/>
  <c r="T46" i="74" s="1"/>
  <c r="P45" i="74"/>
  <c r="O45" i="74"/>
  <c r="P44" i="74"/>
  <c r="O44" i="74"/>
  <c r="P43" i="74"/>
  <c r="O43" i="74"/>
  <c r="P42" i="74"/>
  <c r="O42" i="74"/>
  <c r="P41" i="74"/>
  <c r="O41" i="74"/>
  <c r="P40" i="74"/>
  <c r="O40" i="74"/>
  <c r="P39" i="74"/>
  <c r="O39" i="74"/>
  <c r="P38" i="74"/>
  <c r="O38" i="74"/>
  <c r="P37" i="74"/>
  <c r="N37" i="74"/>
  <c r="P36" i="74"/>
  <c r="N36" i="74"/>
  <c r="O36" i="74" s="1"/>
  <c r="P35" i="74"/>
  <c r="O35" i="74"/>
  <c r="T36" i="74" l="1"/>
  <c r="T51" i="74"/>
  <c r="T52" i="74"/>
  <c r="T53" i="74"/>
  <c r="T35" i="74"/>
  <c r="O37" i="74"/>
  <c r="Q37" i="74" s="1"/>
  <c r="T78" i="74"/>
  <c r="P17" i="29"/>
  <c r="P34" i="74"/>
  <c r="N34" i="74"/>
  <c r="O34" i="74" s="1"/>
  <c r="T34" i="74" s="1"/>
  <c r="Q34" i="74" s="1"/>
  <c r="P33" i="74"/>
  <c r="N33" i="74"/>
  <c r="O33" i="74" s="1"/>
  <c r="T33" i="74" s="1"/>
  <c r="Q33" i="74" s="1"/>
  <c r="P32" i="74"/>
  <c r="N32" i="74"/>
  <c r="P31" i="74"/>
  <c r="O31" i="74"/>
  <c r="T31" i="74" s="1"/>
  <c r="Q31" i="74" s="1"/>
  <c r="N31" i="74"/>
  <c r="P30" i="74"/>
  <c r="N30" i="74"/>
  <c r="O30" i="74" s="1"/>
  <c r="T30" i="74" s="1"/>
  <c r="Q30" i="74" s="1"/>
  <c r="P29" i="74"/>
  <c r="O29" i="74" s="1"/>
  <c r="T29" i="74" s="1"/>
  <c r="N29" i="74"/>
  <c r="P28" i="74"/>
  <c r="O28" i="74"/>
  <c r="P27" i="74"/>
  <c r="N27" i="74"/>
  <c r="O27" i="74" s="1"/>
  <c r="T27" i="74" s="1"/>
  <c r="P26" i="74"/>
  <c r="O26" i="74"/>
  <c r="O32" i="74" l="1"/>
  <c r="T32" i="74" s="1"/>
  <c r="Q32" i="74" s="1"/>
  <c r="Q29" i="74"/>
  <c r="T37" i="74"/>
  <c r="Q17" i="29"/>
  <c r="P25" i="74"/>
  <c r="O25" i="74"/>
  <c r="P24" i="74"/>
  <c r="N24" i="74"/>
  <c r="O24" i="74" s="1"/>
  <c r="T24" i="74" s="1"/>
  <c r="Q24" i="74" s="1"/>
  <c r="R17" i="29" l="1"/>
  <c r="P23" i="74"/>
  <c r="N23" i="74"/>
  <c r="P22" i="74"/>
  <c r="N22" i="74"/>
  <c r="O21" i="74"/>
  <c r="F21" i="74"/>
  <c r="P20" i="74"/>
  <c r="N20" i="74"/>
  <c r="O20" i="74" s="1"/>
  <c r="Q20" i="74" s="1"/>
  <c r="P19" i="74"/>
  <c r="N19" i="74"/>
  <c r="P18" i="74"/>
  <c r="N18" i="74"/>
  <c r="O18" i="74" s="1"/>
  <c r="T18" i="74" s="1"/>
  <c r="Q18" i="74" s="1"/>
  <c r="C18" i="74"/>
  <c r="P17" i="74"/>
  <c r="N17" i="74"/>
  <c r="O17" i="74" s="1"/>
  <c r="P16" i="74"/>
  <c r="N16" i="74"/>
  <c r="P15" i="74"/>
  <c r="N15" i="74"/>
  <c r="O15" i="74" s="1"/>
  <c r="T15" i="74" s="1"/>
  <c r="Q15" i="74" s="1"/>
  <c r="C15" i="74"/>
  <c r="P14" i="74"/>
  <c r="O14" i="74"/>
  <c r="P13" i="74"/>
  <c r="O13" i="74"/>
  <c r="F13" i="74"/>
  <c r="P12" i="74"/>
  <c r="O12" i="74"/>
  <c r="P11" i="74"/>
  <c r="O11" i="74"/>
  <c r="P10" i="74"/>
  <c r="O10" i="74"/>
  <c r="P9" i="74"/>
  <c r="N9" i="74"/>
  <c r="O16" i="74" l="1"/>
  <c r="T16" i="74" s="1"/>
  <c r="Q16" i="74" s="1"/>
  <c r="O9" i="74"/>
  <c r="T9" i="74" s="1"/>
  <c r="Q9" i="74" s="1"/>
  <c r="F14" i="74"/>
  <c r="O22" i="74"/>
  <c r="T22" i="74" s="1"/>
  <c r="Q22" i="74" s="1"/>
  <c r="O19" i="74"/>
  <c r="T19" i="74" s="1"/>
  <c r="Q19" i="74" s="1"/>
  <c r="T20" i="74"/>
  <c r="T17" i="74"/>
  <c r="O23" i="74"/>
  <c r="T23" i="74" s="1"/>
  <c r="Q23" i="74" s="1"/>
  <c r="S17" i="29"/>
  <c r="P8" i="74"/>
  <c r="O8" i="74"/>
  <c r="P7" i="74"/>
  <c r="O7" i="74" s="1"/>
  <c r="T7" i="74" s="1"/>
  <c r="Q7" i="74" s="1"/>
  <c r="N7" i="74"/>
  <c r="P6" i="74"/>
  <c r="O6" i="74"/>
  <c r="P5" i="74"/>
  <c r="N5" i="74"/>
  <c r="C19" i="74" s="1"/>
  <c r="C17" i="74" s="1"/>
  <c r="P4" i="74"/>
  <c r="O4" i="74"/>
  <c r="J36" i="72"/>
  <c r="E36" i="72"/>
  <c r="D36" i="72"/>
  <c r="O5" i="74" l="1"/>
  <c r="T5" i="74" s="1"/>
  <c r="Q5" i="74" s="1"/>
  <c r="F15" i="74"/>
  <c r="F12" i="74"/>
  <c r="T17" i="29"/>
  <c r="Q29" i="72"/>
  <c r="P29" i="72"/>
  <c r="N29" i="72"/>
  <c r="M29" i="72"/>
  <c r="L29" i="72"/>
  <c r="K29" i="72"/>
  <c r="J29" i="72"/>
  <c r="H29" i="72"/>
  <c r="F29" i="72"/>
  <c r="D29" i="72"/>
  <c r="U17" i="29" l="1"/>
  <c r="R26" i="72"/>
  <c r="P26" i="72"/>
  <c r="F26" i="72"/>
  <c r="D26" i="72"/>
  <c r="D25" i="72"/>
  <c r="V17" i="29" l="1"/>
  <c r="B22" i="72"/>
  <c r="S21" i="72"/>
  <c r="C21" i="72" s="1"/>
  <c r="F28" i="74" s="1"/>
  <c r="S19" i="72"/>
  <c r="R19" i="72"/>
  <c r="Q19" i="72"/>
  <c r="P19" i="72"/>
  <c r="O19" i="72"/>
  <c r="M19" i="72"/>
  <c r="K19" i="72"/>
  <c r="J19" i="72"/>
  <c r="E19" i="72"/>
  <c r="C19" i="72" s="1"/>
  <c r="B18" i="72"/>
  <c r="W17" i="29" l="1"/>
  <c r="M17" i="72"/>
  <c r="X17" i="29" l="1"/>
  <c r="Y17" i="29" l="1"/>
  <c r="J17" i="72"/>
  <c r="K17" i="72" s="1"/>
  <c r="Z17" i="29" l="1"/>
  <c r="H17" i="72"/>
  <c r="AA17" i="29" l="1"/>
  <c r="C17" i="72"/>
  <c r="F26" i="74" s="1"/>
  <c r="B17" i="72"/>
  <c r="D16" i="72"/>
  <c r="R15" i="72"/>
  <c r="B15" i="72"/>
  <c r="C14" i="72"/>
  <c r="F24" i="74" s="1"/>
  <c r="B14" i="72"/>
  <c r="P13" i="72"/>
  <c r="G13" i="72"/>
  <c r="F13" i="72"/>
  <c r="D13" i="72"/>
  <c r="S12" i="72"/>
  <c r="S29" i="72" s="1"/>
  <c r="S11" i="72"/>
  <c r="H11" i="72"/>
  <c r="H26" i="72" s="1"/>
  <c r="I10" i="72"/>
  <c r="I29" i="72" s="1"/>
  <c r="C10" i="72"/>
  <c r="C27" i="74" s="1"/>
  <c r="O9" i="72"/>
  <c r="O29" i="72" s="1"/>
  <c r="R8" i="72"/>
  <c r="R29" i="72" s="1"/>
  <c r="G8" i="72"/>
  <c r="G29" i="72" s="1"/>
  <c r="E8" i="72"/>
  <c r="E29" i="72" s="1"/>
  <c r="O7" i="72"/>
  <c r="C7" i="72"/>
  <c r="C26" i="74" s="1"/>
  <c r="T25" i="74" s="1"/>
  <c r="Q6" i="72"/>
  <c r="Q26" i="72" s="1"/>
  <c r="O6" i="72"/>
  <c r="N6" i="72"/>
  <c r="L6" i="72"/>
  <c r="J6" i="72"/>
  <c r="J26" i="72" s="1"/>
  <c r="G6" i="72"/>
  <c r="G26" i="72" s="1"/>
  <c r="E6" i="72"/>
  <c r="E26" i="72" s="1"/>
  <c r="J13" i="72" l="1"/>
  <c r="C8" i="72"/>
  <c r="C29" i="72" s="1"/>
  <c r="C9" i="72"/>
  <c r="R13" i="72"/>
  <c r="S26" i="72"/>
  <c r="S13" i="72"/>
  <c r="Q13" i="72"/>
  <c r="C6" i="72"/>
  <c r="C12" i="72"/>
  <c r="E13" i="72"/>
  <c r="H13" i="72"/>
  <c r="AB17" i="29"/>
  <c r="D4" i="72"/>
  <c r="E4" i="72" s="1"/>
  <c r="E2" i="72"/>
  <c r="P50" i="67"/>
  <c r="P49" i="67"/>
  <c r="P48" i="67"/>
  <c r="P47" i="67"/>
  <c r="P46" i="67"/>
  <c r="P45" i="67"/>
  <c r="P44" i="67"/>
  <c r="O44" i="67"/>
  <c r="P43" i="67"/>
  <c r="O43" i="67"/>
  <c r="P42" i="67"/>
  <c r="O42" i="67"/>
  <c r="P41" i="67"/>
  <c r="O41" i="67"/>
  <c r="P40" i="67"/>
  <c r="O40" i="67"/>
  <c r="P39" i="67"/>
  <c r="O39" i="67"/>
  <c r="P38" i="67"/>
  <c r="O38" i="67"/>
  <c r="P37" i="67"/>
  <c r="O37" i="67"/>
  <c r="P36" i="67"/>
  <c r="O36" i="67"/>
  <c r="P35" i="67"/>
  <c r="O35" i="67"/>
  <c r="P34" i="67"/>
  <c r="O34" i="67" s="1"/>
  <c r="N34" i="67"/>
  <c r="P33" i="67"/>
  <c r="O33" i="67"/>
  <c r="C25" i="74" l="1"/>
  <c r="AC17" i="29"/>
  <c r="P32" i="67"/>
  <c r="O32" i="67"/>
  <c r="P31" i="67"/>
  <c r="N31" i="67"/>
  <c r="O31" i="67" s="1"/>
  <c r="P30" i="67"/>
  <c r="O30" i="67"/>
  <c r="P29" i="67"/>
  <c r="O29" i="67"/>
  <c r="P28" i="67"/>
  <c r="O28" i="67"/>
  <c r="AD17" i="29" l="1"/>
  <c r="P27" i="67"/>
  <c r="O27" i="67"/>
  <c r="P26" i="67" l="1"/>
  <c r="O26" i="67"/>
  <c r="P25" i="67"/>
  <c r="O25" i="67"/>
  <c r="P24" i="67"/>
  <c r="N24" i="67"/>
  <c r="O24" i="67" s="1"/>
  <c r="P23" i="67"/>
  <c r="O23" i="67"/>
  <c r="P22" i="67"/>
  <c r="O22" i="67"/>
  <c r="P21" i="67" l="1"/>
  <c r="O21" i="67"/>
  <c r="P20" i="67"/>
  <c r="O20" i="67"/>
  <c r="P19" i="67"/>
  <c r="N19" i="67"/>
  <c r="O19" i="67" s="1"/>
  <c r="F19" i="67"/>
  <c r="P18" i="67"/>
  <c r="N18" i="67"/>
  <c r="O18" i="67" s="1"/>
  <c r="P17" i="67"/>
  <c r="O17" i="67"/>
  <c r="C17" i="67"/>
  <c r="P16" i="67"/>
  <c r="N16" i="67"/>
  <c r="O16" i="67" s="1"/>
  <c r="P15" i="67"/>
  <c r="O15" i="67"/>
  <c r="P14" i="67"/>
  <c r="N14" i="67"/>
  <c r="O14" i="67" s="1"/>
  <c r="F14" i="67"/>
  <c r="C14" i="67"/>
  <c r="P13" i="67"/>
  <c r="N13" i="67"/>
  <c r="O13" i="67" s="1"/>
  <c r="P12" i="67"/>
  <c r="O12" i="67"/>
  <c r="F12" i="67"/>
  <c r="P11" i="67"/>
  <c r="C11" i="67"/>
  <c r="P10" i="67"/>
  <c r="O10" i="67"/>
  <c r="P9" i="67"/>
  <c r="O9" i="67"/>
  <c r="N9" i="67"/>
  <c r="P8" i="67"/>
  <c r="O8" i="67"/>
  <c r="P7" i="67" l="1"/>
  <c r="O7" i="67"/>
  <c r="P6" i="67"/>
  <c r="N6" i="67"/>
  <c r="O6" i="67" s="1"/>
  <c r="P5" i="67"/>
  <c r="N5" i="67"/>
  <c r="P4" i="67"/>
  <c r="O4" i="67"/>
  <c r="P3" i="67"/>
  <c r="O3" i="67"/>
  <c r="S36" i="68"/>
  <c r="R36" i="68"/>
  <c r="Q36" i="68"/>
  <c r="P36" i="68"/>
  <c r="O36" i="68"/>
  <c r="N36" i="68"/>
  <c r="M36" i="68"/>
  <c r="L36" i="68"/>
  <c r="K36" i="68"/>
  <c r="J36" i="68"/>
  <c r="I36" i="68"/>
  <c r="H36" i="68"/>
  <c r="G36" i="68"/>
  <c r="F36" i="68"/>
  <c r="E36" i="68"/>
  <c r="D36" i="68"/>
  <c r="F11" i="67" l="1"/>
  <c r="C18" i="67"/>
  <c r="C16" i="67" s="1"/>
  <c r="O5" i="67"/>
  <c r="F13" i="67" s="1"/>
  <c r="C13" i="67"/>
  <c r="C12" i="67"/>
  <c r="R29" i="68"/>
  <c r="Q29" i="68"/>
  <c r="P29" i="68"/>
  <c r="O29" i="68"/>
  <c r="N29" i="68"/>
  <c r="M29" i="68"/>
  <c r="K29" i="68"/>
  <c r="J29" i="68"/>
  <c r="I29" i="68"/>
  <c r="G29" i="68"/>
  <c r="E29" i="68"/>
  <c r="D29" i="68"/>
  <c r="C10" i="67" l="1"/>
  <c r="O26" i="68"/>
  <c r="N26" i="68"/>
  <c r="M26" i="68"/>
  <c r="L26" i="68"/>
  <c r="K26" i="68"/>
  <c r="J26" i="68"/>
  <c r="I26" i="68"/>
  <c r="H26" i="68"/>
  <c r="G26" i="68"/>
  <c r="F26" i="68"/>
  <c r="E26" i="68"/>
  <c r="D26" i="68"/>
  <c r="D25" i="68"/>
  <c r="B22" i="68" l="1"/>
  <c r="C21" i="68"/>
  <c r="M20" i="68"/>
  <c r="H20" i="68"/>
  <c r="E20" i="68"/>
  <c r="S19" i="68"/>
  <c r="R19" i="68"/>
  <c r="P19" i="68"/>
  <c r="M19" i="68"/>
  <c r="L19" i="68"/>
  <c r="K19" i="68"/>
  <c r="E19" i="68"/>
  <c r="C19" i="68" s="1"/>
  <c r="B18" i="68"/>
  <c r="Q17" i="68" l="1"/>
  <c r="R17" i="68" s="1"/>
  <c r="O17" i="68" l="1"/>
  <c r="J17" i="68" l="1"/>
  <c r="K17" i="68" s="1"/>
  <c r="L17" i="68" s="1"/>
  <c r="G17" i="68" l="1"/>
  <c r="H17" i="68" s="1"/>
  <c r="E17" i="68"/>
  <c r="B17" i="68"/>
  <c r="E16" i="68"/>
  <c r="B15" i="68"/>
  <c r="P14" i="68"/>
  <c r="C14" i="68" s="1"/>
  <c r="F22" i="67" s="1"/>
  <c r="B14" i="68"/>
  <c r="O13" i="68"/>
  <c r="N13" i="68"/>
  <c r="M13" i="68"/>
  <c r="K13" i="68"/>
  <c r="J13" i="68"/>
  <c r="I13" i="68"/>
  <c r="G13" i="68"/>
  <c r="F13" i="68"/>
  <c r="E13" i="68"/>
  <c r="D13" i="68"/>
  <c r="S12" i="68"/>
  <c r="S29" i="68" s="1"/>
  <c r="S11" i="68"/>
  <c r="S26" i="68" s="1"/>
  <c r="Q11" i="68"/>
  <c r="Q26" i="68" s="1"/>
  <c r="P11" i="68"/>
  <c r="C10" i="68"/>
  <c r="H8" i="68"/>
  <c r="H29" i="68" s="1"/>
  <c r="F8" i="68"/>
  <c r="F29" i="68" s="1"/>
  <c r="R7" i="68"/>
  <c r="R26" i="68" s="1"/>
  <c r="P7" i="68"/>
  <c r="C7" i="68" s="1"/>
  <c r="C25" i="67" s="1"/>
  <c r="P6" i="68"/>
  <c r="P26" i="68" s="1"/>
  <c r="C11" i="68" l="1"/>
  <c r="C17" i="68"/>
  <c r="F24" i="67" s="1"/>
  <c r="P13" i="68"/>
  <c r="C12" i="68"/>
  <c r="S13" i="68"/>
  <c r="C6" i="68"/>
  <c r="C26" i="68" s="1"/>
  <c r="R13" i="68"/>
  <c r="H13" i="68"/>
  <c r="Q13" i="68"/>
  <c r="D4" i="68"/>
  <c r="E2" i="68"/>
  <c r="P54" i="61"/>
  <c r="O54" i="61"/>
  <c r="P53" i="61"/>
  <c r="O53" i="61"/>
  <c r="P52" i="61"/>
  <c r="O52" i="61"/>
  <c r="P51" i="61"/>
  <c r="O51" i="61"/>
  <c r="P50" i="61"/>
  <c r="O50" i="61"/>
  <c r="P49" i="61"/>
  <c r="O49" i="61"/>
  <c r="P48" i="61"/>
  <c r="P47" i="61"/>
  <c r="N47" i="61"/>
  <c r="O47" i="61" s="1"/>
  <c r="P46" i="61"/>
  <c r="N46" i="61"/>
  <c r="C18" i="61" s="1"/>
  <c r="P45" i="61"/>
  <c r="O45" i="61"/>
  <c r="P44" i="61"/>
  <c r="O44" i="61"/>
  <c r="P43" i="61"/>
  <c r="O43" i="61"/>
  <c r="P42" i="61"/>
  <c r="O42" i="61"/>
  <c r="P41" i="61"/>
  <c r="O41" i="61"/>
  <c r="P40" i="61"/>
  <c r="O40" i="61"/>
  <c r="P39" i="61"/>
  <c r="O39" i="61"/>
  <c r="P38" i="61"/>
  <c r="O38" i="61"/>
  <c r="P37" i="61"/>
  <c r="O37" i="61"/>
  <c r="P36" i="61"/>
  <c r="O36" i="61"/>
  <c r="P35" i="61"/>
  <c r="O35" i="61"/>
  <c r="P34" i="61"/>
  <c r="O34" i="61"/>
  <c r="P33" i="61"/>
  <c r="N33" i="61"/>
  <c r="O33" i="61" s="1"/>
  <c r="P32" i="61"/>
  <c r="O32" i="61"/>
  <c r="P31" i="61"/>
  <c r="O31" i="61"/>
  <c r="P30" i="61"/>
  <c r="O30" i="61"/>
  <c r="P29" i="61"/>
  <c r="O29" i="61"/>
  <c r="P28" i="61"/>
  <c r="O28" i="61"/>
  <c r="P27" i="61"/>
  <c r="O27" i="61"/>
  <c r="P26" i="61"/>
  <c r="O26" i="61"/>
  <c r="P25" i="61"/>
  <c r="O25" i="61"/>
  <c r="P24" i="61"/>
  <c r="O24" i="61"/>
  <c r="P23" i="61"/>
  <c r="N23" i="61"/>
  <c r="O23" i="61" s="1"/>
  <c r="P22" i="61"/>
  <c r="O22" i="61"/>
  <c r="P21" i="61"/>
  <c r="O21" i="61"/>
  <c r="P20" i="61"/>
  <c r="O20" i="61"/>
  <c r="P19" i="61"/>
  <c r="O19" i="61"/>
  <c r="F19" i="61"/>
  <c r="P18" i="61"/>
  <c r="O18" i="61"/>
  <c r="P17" i="61"/>
  <c r="O17" i="61"/>
  <c r="C17" i="61"/>
  <c r="P16" i="61"/>
  <c r="O16" i="61"/>
  <c r="P15" i="61"/>
  <c r="O15" i="61"/>
  <c r="P14" i="61"/>
  <c r="O14" i="61"/>
  <c r="P13" i="61"/>
  <c r="O13" i="61"/>
  <c r="P12" i="61"/>
  <c r="O12" i="61"/>
  <c r="P11" i="61"/>
  <c r="O11" i="61"/>
  <c r="P10" i="61"/>
  <c r="O10" i="61"/>
  <c r="P9" i="61"/>
  <c r="O9" i="61"/>
  <c r="P8" i="61"/>
  <c r="O8" i="61"/>
  <c r="F8" i="61"/>
  <c r="F5" i="61" s="1"/>
  <c r="P7" i="61"/>
  <c r="O7" i="61"/>
  <c r="P6" i="61"/>
  <c r="O6" i="61"/>
  <c r="P5" i="61"/>
  <c r="O5" i="61"/>
  <c r="P4" i="61"/>
  <c r="O4" i="61"/>
  <c r="P3" i="61"/>
  <c r="O3" i="61"/>
  <c r="S36" i="58"/>
  <c r="R36" i="58"/>
  <c r="Q36" i="58"/>
  <c r="P36" i="58"/>
  <c r="O36" i="58"/>
  <c r="F11" i="61" l="1"/>
  <c r="C12" i="61"/>
  <c r="D34" i="58" s="1"/>
  <c r="C16" i="61"/>
  <c r="C13" i="61"/>
  <c r="D33" i="58" s="1"/>
  <c r="F13" i="61"/>
  <c r="F14" i="61"/>
  <c r="O46" i="61"/>
  <c r="E4" i="68"/>
  <c r="D36" i="58" l="1"/>
  <c r="S29" i="58"/>
  <c r="R29" i="58"/>
  <c r="Q29" i="58"/>
  <c r="P29" i="58"/>
  <c r="N29" i="58"/>
  <c r="M29" i="58"/>
  <c r="L29" i="58"/>
  <c r="K29" i="58"/>
  <c r="J29" i="58"/>
  <c r="I29" i="58"/>
  <c r="H29" i="58"/>
  <c r="G29" i="58"/>
  <c r="F29" i="58"/>
  <c r="E29" i="58"/>
  <c r="D29" i="58"/>
  <c r="D26" i="58"/>
  <c r="D25" i="58"/>
  <c r="B22" i="58" l="1"/>
  <c r="Q21" i="58" s="1"/>
  <c r="K21" i="58"/>
  <c r="C20" i="58"/>
  <c r="C7" i="61" s="1"/>
  <c r="C19" i="58"/>
  <c r="D18" i="58"/>
  <c r="D27" i="58" s="1"/>
  <c r="B18" i="58"/>
  <c r="J17" i="58"/>
  <c r="K17" i="58" s="1"/>
  <c r="L17" i="58" s="1"/>
  <c r="F17" i="58"/>
  <c r="G17" i="58" s="1"/>
  <c r="H17" i="58" s="1"/>
  <c r="B17" i="58"/>
  <c r="D16" i="58"/>
  <c r="M15" i="58"/>
  <c r="B15" i="58"/>
  <c r="L14" i="58"/>
  <c r="C14" i="58"/>
  <c r="B14" i="58"/>
  <c r="L21" i="58" l="1"/>
  <c r="C21" i="58" s="1"/>
  <c r="N15" i="58"/>
  <c r="D13" i="58"/>
  <c r="C12" i="58"/>
  <c r="C23" i="61" s="1"/>
  <c r="S11" i="58"/>
  <c r="R11" i="58"/>
  <c r="R26" i="58" s="1"/>
  <c r="Q11" i="58"/>
  <c r="Q26" i="58" s="1"/>
  <c r="P11" i="58"/>
  <c r="P26" i="58" s="1"/>
  <c r="O11" i="58"/>
  <c r="O26" i="58" s="1"/>
  <c r="L11" i="58"/>
  <c r="K11" i="58"/>
  <c r="K26" i="58" s="1"/>
  <c r="J11" i="58"/>
  <c r="J26" i="58" s="1"/>
  <c r="I11" i="58"/>
  <c r="I26" i="58" s="1"/>
  <c r="H11" i="58"/>
  <c r="H26" i="58" s="1"/>
  <c r="G26" i="58" s="1"/>
  <c r="F26" i="58" s="1"/>
  <c r="G11" i="58"/>
  <c r="G13" i="58" s="1"/>
  <c r="F11" i="58"/>
  <c r="F13" i="58" s="1"/>
  <c r="C10" i="58"/>
  <c r="C26" i="61" s="1"/>
  <c r="C9" i="58"/>
  <c r="O8" i="58"/>
  <c r="O29" i="58" s="1"/>
  <c r="L7" i="58"/>
  <c r="C7" i="58" s="1"/>
  <c r="C25" i="61" s="1"/>
  <c r="L6" i="58"/>
  <c r="C6" i="58" s="1"/>
  <c r="C24" i="61" s="1"/>
  <c r="N4" i="58"/>
  <c r="M11" i="58" s="1"/>
  <c r="D4" i="58"/>
  <c r="E2" i="58"/>
  <c r="N62" i="60"/>
  <c r="N61" i="60"/>
  <c r="N60" i="60"/>
  <c r="N59" i="60"/>
  <c r="M59" i="60"/>
  <c r="N58" i="60"/>
  <c r="M58" i="60"/>
  <c r="N57" i="60"/>
  <c r="M57" i="60"/>
  <c r="N56" i="60"/>
  <c r="M56" i="60"/>
  <c r="N55" i="60"/>
  <c r="M55" i="60"/>
  <c r="N54" i="60"/>
  <c r="M54" i="60"/>
  <c r="N53" i="60"/>
  <c r="M53" i="60"/>
  <c r="N52" i="60"/>
  <c r="M52" i="60"/>
  <c r="N51" i="60"/>
  <c r="M51" i="60"/>
  <c r="N50" i="60"/>
  <c r="M50" i="60"/>
  <c r="N49" i="60"/>
  <c r="M49" i="60"/>
  <c r="N48" i="60"/>
  <c r="M48" i="60"/>
  <c r="N47" i="60"/>
  <c r="M47" i="60"/>
  <c r="N46" i="60"/>
  <c r="M46" i="60"/>
  <c r="N45" i="60"/>
  <c r="M45" i="60"/>
  <c r="N44" i="60"/>
  <c r="M44" i="60"/>
  <c r="N43" i="60"/>
  <c r="M43" i="60"/>
  <c r="N42" i="60"/>
  <c r="M42" i="60"/>
  <c r="N41" i="60"/>
  <c r="M41" i="60"/>
  <c r="N40" i="60"/>
  <c r="M40" i="60"/>
  <c r="N39" i="60"/>
  <c r="M39" i="60"/>
  <c r="N38" i="60"/>
  <c r="M38" i="60"/>
  <c r="N37" i="60"/>
  <c r="M37" i="60"/>
  <c r="N36" i="60"/>
  <c r="M36" i="60"/>
  <c r="N35" i="60"/>
  <c r="M35" i="60"/>
  <c r="N34" i="60"/>
  <c r="M34" i="60"/>
  <c r="N33" i="60"/>
  <c r="M33" i="60"/>
  <c r="N32" i="60"/>
  <c r="M32" i="60"/>
  <c r="N31" i="60"/>
  <c r="M31" i="60"/>
  <c r="N30" i="60"/>
  <c r="M30" i="60"/>
  <c r="N29" i="60"/>
  <c r="M29" i="60"/>
  <c r="C8" i="58" l="1"/>
  <c r="C29" i="58" s="1"/>
  <c r="M26" i="58"/>
  <c r="M13" i="58"/>
  <c r="L13" i="58" s="1"/>
  <c r="K13" i="58" s="1"/>
  <c r="J13" i="58" s="1"/>
  <c r="I13" i="58" s="1"/>
  <c r="H13" i="58" s="1"/>
  <c r="N11" i="58"/>
  <c r="N26" i="58" s="1"/>
  <c r="S26" i="58"/>
  <c r="S13" i="58"/>
  <c r="R13" i="58" s="1"/>
  <c r="Q13" i="58" s="1"/>
  <c r="P13" i="58" s="1"/>
  <c r="O13" i="58" s="1"/>
  <c r="N13" i="58" s="1"/>
  <c r="L26" i="58"/>
  <c r="E4" i="58"/>
  <c r="E11" i="58" s="1"/>
  <c r="N28" i="60"/>
  <c r="M28" i="60"/>
  <c r="N27" i="60"/>
  <c r="M27" i="60"/>
  <c r="E26" i="58" l="1"/>
  <c r="E13" i="58"/>
  <c r="C13" i="58" s="1"/>
  <c r="C11" i="58"/>
  <c r="N26" i="60"/>
  <c r="M26" i="60"/>
  <c r="N25" i="60"/>
  <c r="M25" i="60"/>
  <c r="C25" i="60"/>
  <c r="N24" i="60"/>
  <c r="M24" i="60"/>
  <c r="N23" i="60"/>
  <c r="M23" i="60"/>
  <c r="N22" i="60"/>
  <c r="M22" i="60"/>
  <c r="N21" i="60"/>
  <c r="M21" i="60"/>
  <c r="C22" i="61" l="1"/>
  <c r="C21" i="61" s="1"/>
  <c r="C26" i="58"/>
  <c r="Z11" i="58"/>
  <c r="Y14" i="58"/>
  <c r="Z12" i="58"/>
  <c r="Z10" i="58"/>
  <c r="Z9" i="58"/>
  <c r="Z8" i="58"/>
  <c r="Z7" i="58"/>
  <c r="Z6" i="58"/>
  <c r="N20" i="60"/>
  <c r="M20" i="60"/>
  <c r="N19" i="60"/>
  <c r="M19" i="60"/>
  <c r="N18" i="60"/>
  <c r="M18" i="60"/>
  <c r="N17" i="60"/>
  <c r="M17" i="60"/>
  <c r="C17" i="60"/>
  <c r="N16" i="60"/>
  <c r="M16" i="60"/>
  <c r="Z13" i="58" l="1"/>
  <c r="C16" i="60"/>
  <c r="N15" i="60"/>
  <c r="M15" i="60"/>
  <c r="N14" i="60"/>
  <c r="M14" i="60"/>
  <c r="N13" i="60"/>
  <c r="M13" i="60"/>
  <c r="N12" i="60"/>
  <c r="M12" i="60"/>
  <c r="N11" i="60"/>
  <c r="M11" i="60"/>
  <c r="N10" i="60"/>
  <c r="M10" i="60"/>
  <c r="N9" i="60" l="1"/>
  <c r="C12" i="60" s="1"/>
  <c r="M9" i="60"/>
  <c r="F11" i="60" s="1"/>
  <c r="N8" i="60"/>
  <c r="M8" i="60"/>
  <c r="F8" i="60"/>
  <c r="N7" i="60"/>
  <c r="M7" i="60"/>
  <c r="N6" i="60"/>
  <c r="C14" i="60" s="1"/>
  <c r="M6" i="60"/>
  <c r="F14" i="60" s="1"/>
  <c r="N5" i="60" l="1"/>
  <c r="M5" i="60"/>
  <c r="F5" i="60"/>
  <c r="N4" i="60"/>
  <c r="C13" i="60" s="1"/>
  <c r="M4" i="60"/>
  <c r="F13" i="60" s="1"/>
  <c r="N3" i="60"/>
  <c r="M3" i="60"/>
  <c r="P35" i="1"/>
  <c r="S29" i="1"/>
  <c r="R29" i="1"/>
  <c r="Q29" i="1"/>
  <c r="P29" i="1"/>
  <c r="O29" i="1"/>
  <c r="N29" i="1"/>
  <c r="M29" i="1"/>
  <c r="L29" i="1"/>
  <c r="J29" i="1"/>
  <c r="I29" i="1"/>
  <c r="D29" i="1"/>
  <c r="D27" i="1"/>
  <c r="R26" i="1"/>
  <c r="D25" i="1"/>
  <c r="P36" i="1" l="1"/>
  <c r="B22" i="1" l="1"/>
  <c r="H21" i="1"/>
  <c r="C21" i="1" s="1"/>
  <c r="C20" i="1"/>
  <c r="K19" i="1"/>
  <c r="F19" i="1"/>
  <c r="E19" i="1"/>
  <c r="E18" i="1"/>
  <c r="B18" i="1"/>
  <c r="O17" i="1"/>
  <c r="P17" i="1" s="1"/>
  <c r="E17" i="1"/>
  <c r="B17" i="1"/>
  <c r="C16" i="1"/>
  <c r="I15" i="1"/>
  <c r="F15" i="1"/>
  <c r="B15" i="1"/>
  <c r="N14" i="1"/>
  <c r="C14" i="1" s="1"/>
  <c r="B14" i="1"/>
  <c r="R13" i="1"/>
  <c r="C12" i="1"/>
  <c r="C21" i="60" s="1"/>
  <c r="S11" i="1"/>
  <c r="S26" i="1" s="1"/>
  <c r="L11" i="1"/>
  <c r="L26" i="1" s="1"/>
  <c r="G11" i="1"/>
  <c r="G26" i="1" s="1"/>
  <c r="F11" i="1"/>
  <c r="C10" i="1"/>
  <c r="E9" i="1"/>
  <c r="C9" i="1" s="1"/>
  <c r="K8" i="1"/>
  <c r="K29" i="1" s="1"/>
  <c r="H8" i="1"/>
  <c r="H29" i="1" s="1"/>
  <c r="G8" i="1"/>
  <c r="G29" i="1" s="1"/>
  <c r="F8" i="1"/>
  <c r="F29" i="1" s="1"/>
  <c r="E8" i="1"/>
  <c r="E29" i="1" s="1"/>
  <c r="C7" i="1"/>
  <c r="F6" i="1"/>
  <c r="D5" i="1"/>
  <c r="O4" i="1"/>
  <c r="M4" i="1" s="1"/>
  <c r="K4" i="1" s="1"/>
  <c r="J11" i="1" s="1"/>
  <c r="I4" i="1"/>
  <c r="I11" i="1" s="1"/>
  <c r="D4" i="1"/>
  <c r="E2" i="1"/>
  <c r="F2" i="1" s="1"/>
  <c r="G2" i="1" s="1"/>
  <c r="H2" i="1" s="1"/>
  <c r="I2" i="1" s="1"/>
  <c r="J2" i="1" s="1"/>
  <c r="K2" i="1" s="1"/>
  <c r="L2" i="1" s="1"/>
  <c r="M2" i="1" s="1"/>
  <c r="N2" i="1" s="1"/>
  <c r="O2" i="1" s="1"/>
  <c r="P2" i="1" s="1"/>
  <c r="Q2" i="1" s="1"/>
  <c r="I26" i="1" l="1"/>
  <c r="I13" i="1"/>
  <c r="S13" i="1"/>
  <c r="H11" i="1"/>
  <c r="H26" i="1" s="1"/>
  <c r="F26" i="1"/>
  <c r="J26" i="1"/>
  <c r="J13" i="1"/>
  <c r="G15" i="1"/>
  <c r="E11" i="1"/>
  <c r="M11" i="1"/>
  <c r="F13" i="1"/>
  <c r="E27" i="1"/>
  <c r="F22" i="60"/>
  <c r="C7" i="60"/>
  <c r="E13" i="1"/>
  <c r="C8" i="1"/>
  <c r="K11" i="1"/>
  <c r="K26" i="1" s="1"/>
  <c r="C19" i="1"/>
  <c r="C6" i="60"/>
  <c r="C6" i="1"/>
  <c r="N11" i="1"/>
  <c r="H13" i="1"/>
  <c r="G13" i="1" s="1"/>
  <c r="L13" i="1"/>
  <c r="K38" i="11"/>
  <c r="G36" i="11"/>
  <c r="D33" i="11"/>
  <c r="C33" i="11"/>
  <c r="C32" i="11"/>
  <c r="C27" i="11"/>
  <c r="C26" i="11"/>
  <c r="C25" i="11"/>
  <c r="C24" i="11"/>
  <c r="C23" i="11"/>
  <c r="C22" i="11"/>
  <c r="C21" i="11"/>
  <c r="C20" i="11"/>
  <c r="C19" i="11"/>
  <c r="C18" i="11"/>
  <c r="J11" i="11"/>
  <c r="J10" i="11"/>
  <c r="J9" i="11"/>
  <c r="J8" i="11"/>
  <c r="J7" i="11"/>
  <c r="J6" i="11"/>
  <c r="J5" i="11"/>
  <c r="AA4" i="11" s="1"/>
  <c r="J4" i="11"/>
  <c r="J3" i="11"/>
  <c r="J2" i="11"/>
  <c r="C11" i="61"/>
  <c r="C10" i="61" s="1"/>
  <c r="C14" i="61"/>
  <c r="P4" i="37"/>
  <c r="P5" i="37" s="1"/>
  <c r="E16" i="58"/>
  <c r="F16" i="58"/>
  <c r="C22" i="60"/>
  <c r="C23" i="60"/>
  <c r="C24" i="60"/>
  <c r="F26" i="60"/>
  <c r="F19" i="60"/>
  <c r="F18" i="60" s="1"/>
  <c r="E18" i="58"/>
  <c r="F18" i="58" s="1"/>
  <c r="G18" i="58" s="1"/>
  <c r="H18" i="58" s="1"/>
  <c r="I18" i="58" s="1"/>
  <c r="C11" i="60"/>
  <c r="C10" i="60" s="1"/>
  <c r="F12" i="60"/>
  <c r="D28" i="58"/>
  <c r="E25" i="58"/>
  <c r="F25" i="58" s="1"/>
  <c r="G25" i="58" s="1"/>
  <c r="H25" i="58" s="1"/>
  <c r="I25" i="58" s="1"/>
  <c r="J25" i="58" s="1"/>
  <c r="K25" i="58" s="1"/>
  <c r="L25" i="58" s="1"/>
  <c r="M25" i="58" s="1"/>
  <c r="N25" i="58" s="1"/>
  <c r="O25" i="58" s="1"/>
  <c r="P25" i="58" s="1"/>
  <c r="Q25" i="58" s="1"/>
  <c r="R25" i="58" s="1"/>
  <c r="S25" i="58" s="1"/>
  <c r="F22" i="61"/>
  <c r="F26" i="61"/>
  <c r="F18" i="61"/>
  <c r="F17" i="61" s="1"/>
  <c r="F12" i="61"/>
  <c r="F4" i="68"/>
  <c r="G4" i="68" s="1"/>
  <c r="H4" i="68" s="1"/>
  <c r="I4" i="68" s="1"/>
  <c r="J4" i="68" s="1"/>
  <c r="K4" i="68" s="1"/>
  <c r="L4" i="68" s="1"/>
  <c r="M4" i="68" s="1"/>
  <c r="N4" i="68" s="1"/>
  <c r="O4" i="68" s="1"/>
  <c r="P4" i="68" s="1"/>
  <c r="Q4" i="68" s="1"/>
  <c r="R4" i="68" s="1"/>
  <c r="S4" i="68" s="1"/>
  <c r="L8" i="68"/>
  <c r="C8" i="68" s="1"/>
  <c r="L9" i="68"/>
  <c r="C9" i="68" s="1"/>
  <c r="C22" i="67"/>
  <c r="C23" i="67"/>
  <c r="C24" i="67"/>
  <c r="C26" i="67"/>
  <c r="F7" i="67"/>
  <c r="F26" i="67"/>
  <c r="E16" i="72"/>
  <c r="F16" i="72" s="1"/>
  <c r="G16" i="72" s="1"/>
  <c r="C24" i="74"/>
  <c r="E25" i="72"/>
  <c r="F25" i="72" s="1"/>
  <c r="G25" i="72" s="1"/>
  <c r="H25" i="72" s="1"/>
  <c r="I25" i="72" s="1"/>
  <c r="J25" i="72" s="1"/>
  <c r="K25" i="72" s="1"/>
  <c r="L25" i="72" s="1"/>
  <c r="M25" i="72" s="1"/>
  <c r="N25" i="72" s="1"/>
  <c r="O25" i="72" s="1"/>
  <c r="P25" i="72" s="1"/>
  <c r="Q25" i="72" s="1"/>
  <c r="R25" i="72" s="1"/>
  <c r="S25" i="72" s="1"/>
  <c r="S15" i="72"/>
  <c r="D15" i="98" s="1"/>
  <c r="E15" i="98" s="1"/>
  <c r="C12" i="74"/>
  <c r="C13" i="74"/>
  <c r="C14" i="74"/>
  <c r="F16" i="74"/>
  <c r="E17" i="98"/>
  <c r="G17" i="98"/>
  <c r="H17" i="98" s="1"/>
  <c r="I17" i="98" s="1"/>
  <c r="S31" i="98"/>
  <c r="R31" i="98"/>
  <c r="Q31" i="98"/>
  <c r="P31" i="98"/>
  <c r="O31" i="98"/>
  <c r="N31" i="98"/>
  <c r="M31" i="98"/>
  <c r="L31" i="98"/>
  <c r="K31" i="98"/>
  <c r="J31" i="98"/>
  <c r="I31" i="98"/>
  <c r="H31" i="98"/>
  <c r="G31" i="98"/>
  <c r="F31" i="98"/>
  <c r="E31" i="98"/>
  <c r="C24" i="99"/>
  <c r="C25" i="99"/>
  <c r="C27" i="99"/>
  <c r="F33" i="99"/>
  <c r="F20" i="99"/>
  <c r="F19" i="99" s="1"/>
  <c r="C12" i="99"/>
  <c r="C15" i="99"/>
  <c r="F12" i="99"/>
  <c r="F13" i="99"/>
  <c r="F14" i="99"/>
  <c r="F15" i="99"/>
  <c r="C21" i="67" l="1"/>
  <c r="C5" i="60"/>
  <c r="M35" i="100"/>
  <c r="M36" i="100" s="1"/>
  <c r="S35" i="100"/>
  <c r="S36" i="100" s="1"/>
  <c r="J17" i="98"/>
  <c r="K17" i="98" s="1"/>
  <c r="L17" i="98" s="1"/>
  <c r="M17" i="98" s="1"/>
  <c r="N17" i="98" s="1"/>
  <c r="P17" i="98" s="1"/>
  <c r="Q17" i="98" s="1"/>
  <c r="R17" i="98" s="1"/>
  <c r="S17" i="98" s="1"/>
  <c r="H16" i="72"/>
  <c r="C29" i="68"/>
  <c r="F15" i="98"/>
  <c r="J18" i="58"/>
  <c r="K18" i="58" s="1"/>
  <c r="L18" i="58" s="1"/>
  <c r="I27" i="58"/>
  <c r="I28" i="58" s="1"/>
  <c r="N26" i="1"/>
  <c r="N13" i="1"/>
  <c r="F15" i="60"/>
  <c r="C29" i="1"/>
  <c r="M26" i="1"/>
  <c r="M13" i="1"/>
  <c r="L13" i="68"/>
  <c r="C13" i="68" s="1"/>
  <c r="K2" i="11"/>
  <c r="AA5" i="11"/>
  <c r="AA6" i="11" s="1"/>
  <c r="E33" i="11"/>
  <c r="F33" i="11" s="1"/>
  <c r="G33" i="11" s="1"/>
  <c r="L29" i="68"/>
  <c r="D11" i="1"/>
  <c r="E26" i="1"/>
  <c r="E28" i="1" s="1"/>
  <c r="C11" i="74"/>
  <c r="K3" i="11"/>
  <c r="K4" i="11" s="1"/>
  <c r="K13" i="1"/>
  <c r="C11" i="99"/>
  <c r="C17" i="98" l="1"/>
  <c r="F30" i="99" s="1"/>
  <c r="D26" i="1"/>
  <c r="D28" i="1" s="1"/>
  <c r="D13" i="1"/>
  <c r="G15" i="98"/>
  <c r="I16" i="72"/>
  <c r="L27" i="58"/>
  <c r="L28" i="58" s="1"/>
  <c r="M18" i="58"/>
  <c r="AA7" i="11"/>
  <c r="H33" i="11"/>
  <c r="I33" i="11" s="1"/>
  <c r="J33" i="11" s="1"/>
  <c r="K5" i="11"/>
  <c r="K6" i="11" s="1"/>
  <c r="Z6" i="68"/>
  <c r="Z10" i="68"/>
  <c r="Y14" i="68"/>
  <c r="Z9" i="68"/>
  <c r="Z12" i="68"/>
  <c r="Z7" i="68"/>
  <c r="Z11" i="68"/>
  <c r="Z8" i="68"/>
  <c r="N18" i="58" l="1"/>
  <c r="O18" i="58" s="1"/>
  <c r="P18" i="58" s="1"/>
  <c r="Q18" i="58" s="1"/>
  <c r="R18" i="58" s="1"/>
  <c r="S18" i="58" s="1"/>
  <c r="D18" i="68" s="1"/>
  <c r="K7" i="11"/>
  <c r="L7" i="11" s="1"/>
  <c r="AA8" i="11"/>
  <c r="Z13" i="68"/>
  <c r="H15" i="98"/>
  <c r="I15" i="98" s="1"/>
  <c r="J15" i="98" s="1"/>
  <c r="K15" i="98" s="1"/>
  <c r="L15" i="98" s="1"/>
  <c r="M15" i="98" s="1"/>
  <c r="N15" i="98" s="1"/>
  <c r="O15" i="98" s="1"/>
  <c r="P15" i="98" s="1"/>
  <c r="J16" i="72"/>
  <c r="C15" i="98" l="1"/>
  <c r="F29" i="99" s="1"/>
  <c r="K16" i="72"/>
  <c r="C18" i="58"/>
  <c r="K8" i="11"/>
  <c r="AA9" i="11"/>
  <c r="AA10" i="11" s="1"/>
  <c r="E18" i="68"/>
  <c r="D27" i="68"/>
  <c r="D28" i="68" s="1"/>
  <c r="N14" i="11" l="1"/>
  <c r="K14" i="11" s="1"/>
  <c r="K9" i="11"/>
  <c r="K10" i="11" s="1"/>
  <c r="L16" i="72"/>
  <c r="E27" i="68"/>
  <c r="E28" i="68" s="1"/>
  <c r="F18" i="68"/>
  <c r="G18" i="68" s="1"/>
  <c r="H18" i="68" s="1"/>
  <c r="I18" i="68" s="1"/>
  <c r="J18" i="68" s="1"/>
  <c r="K18" i="68" s="1"/>
  <c r="L18" i="68" s="1"/>
  <c r="M18" i="68" s="1"/>
  <c r="N18" i="68" s="1"/>
  <c r="O18" i="68" s="1"/>
  <c r="P18" i="68" s="1"/>
  <c r="Q18" i="68" s="1"/>
  <c r="R18" i="68" s="1"/>
  <c r="S18" i="68" s="1"/>
  <c r="F25" i="61"/>
  <c r="F13" i="98"/>
  <c r="G13" i="98"/>
  <c r="H11" i="98"/>
  <c r="F4" i="98"/>
  <c r="G4" i="98" s="1"/>
  <c r="H4" i="98" s="1"/>
  <c r="I4" i="98" s="1"/>
  <c r="J4" i="98" s="1"/>
  <c r="K4" i="98" s="1"/>
  <c r="F26" i="98"/>
  <c r="G26" i="98"/>
  <c r="D18" i="103" l="1"/>
  <c r="D18" i="100"/>
  <c r="L4" i="98"/>
  <c r="M4" i="98" s="1"/>
  <c r="P11" i="98"/>
  <c r="Q11" i="98" s="1"/>
  <c r="R11" i="98" s="1"/>
  <c r="D18" i="72"/>
  <c r="D18" i="98"/>
  <c r="M16" i="72"/>
  <c r="C18" i="68"/>
  <c r="E18" i="103" l="1"/>
  <c r="D27" i="103"/>
  <c r="D28" i="103" s="1"/>
  <c r="D23" i="103"/>
  <c r="D27" i="100"/>
  <c r="D28" i="100" s="1"/>
  <c r="D23" i="100"/>
  <c r="N4" i="98"/>
  <c r="O4" i="98" s="1"/>
  <c r="P4" i="98" s="1"/>
  <c r="Q4" i="98" s="1"/>
  <c r="R4" i="98" s="1"/>
  <c r="S4" i="98" s="1"/>
  <c r="E18" i="98"/>
  <c r="D23" i="98"/>
  <c r="D27" i="98"/>
  <c r="D28" i="98" s="1"/>
  <c r="F25" i="67"/>
  <c r="D27" i="72"/>
  <c r="D28" i="72" s="1"/>
  <c r="E18" i="72"/>
  <c r="C21" i="98"/>
  <c r="F32" i="99" s="1"/>
  <c r="J14" i="98"/>
  <c r="D4" i="100" l="1"/>
  <c r="S11" i="98"/>
  <c r="F18" i="103"/>
  <c r="E23" i="103"/>
  <c r="E27" i="103"/>
  <c r="E28" i="103" s="1"/>
  <c r="C11" i="98"/>
  <c r="C23" i="99" s="1"/>
  <c r="F18" i="98"/>
  <c r="E27" i="98"/>
  <c r="E28" i="98" s="1"/>
  <c r="E23" i="98"/>
  <c r="F18" i="72"/>
  <c r="E27" i="72"/>
  <c r="E28" i="72" s="1"/>
  <c r="G18" i="103" l="1"/>
  <c r="F23" i="103"/>
  <c r="F27" i="103"/>
  <c r="F28" i="103" s="1"/>
  <c r="G18" i="98"/>
  <c r="F27" i="98"/>
  <c r="F28" i="98" s="1"/>
  <c r="F23" i="98"/>
  <c r="G18" i="72"/>
  <c r="H18" i="72" s="1"/>
  <c r="I18" i="72" s="1"/>
  <c r="J18" i="72" s="1"/>
  <c r="K18" i="72" s="1"/>
  <c r="L18" i="72" s="1"/>
  <c r="M18" i="72" s="1"/>
  <c r="N18" i="72" s="1"/>
  <c r="O18" i="72" s="1"/>
  <c r="P18" i="72" s="1"/>
  <c r="Q18" i="72" s="1"/>
  <c r="H13" i="98"/>
  <c r="I13" i="98"/>
  <c r="J13" i="98"/>
  <c r="K13" i="98"/>
  <c r="L13" i="98"/>
  <c r="M13" i="98"/>
  <c r="N13" i="98"/>
  <c r="O13" i="98"/>
  <c r="P13" i="98"/>
  <c r="Q13" i="98"/>
  <c r="R13" i="98"/>
  <c r="S13" i="98"/>
  <c r="C7" i="98"/>
  <c r="C26" i="99" s="1"/>
  <c r="C22" i="99" s="1"/>
  <c r="H26" i="98"/>
  <c r="I26" i="98"/>
  <c r="J26" i="98"/>
  <c r="K26" i="98"/>
  <c r="L26" i="98"/>
  <c r="M26" i="98"/>
  <c r="N26" i="98"/>
  <c r="O26" i="98"/>
  <c r="P26" i="98"/>
  <c r="Q26" i="98"/>
  <c r="R26" i="98"/>
  <c r="S26" i="98"/>
  <c r="H18" i="103" l="1"/>
  <c r="G23" i="103"/>
  <c r="G27" i="103"/>
  <c r="G28" i="103" s="1"/>
  <c r="C26" i="98"/>
  <c r="C13" i="98"/>
  <c r="Z10" i="98" s="1"/>
  <c r="R18" i="72"/>
  <c r="Q27" i="72"/>
  <c r="Q28" i="72" s="1"/>
  <c r="H18" i="98"/>
  <c r="G27" i="98"/>
  <c r="G28" i="98" s="1"/>
  <c r="G23" i="98"/>
  <c r="I18" i="103" l="1"/>
  <c r="H23" i="103"/>
  <c r="H27" i="103"/>
  <c r="H28" i="103" s="1"/>
  <c r="Z6" i="98"/>
  <c r="Z7" i="98"/>
  <c r="Z9" i="98"/>
  <c r="Z11" i="98"/>
  <c r="Z12" i="98"/>
  <c r="Y14" i="98"/>
  <c r="Z8" i="98"/>
  <c r="I18" i="98"/>
  <c r="H23" i="98"/>
  <c r="H27" i="98"/>
  <c r="H28" i="98" s="1"/>
  <c r="S18" i="72"/>
  <c r="S27" i="72" s="1"/>
  <c r="S28" i="72" s="1"/>
  <c r="R27" i="72"/>
  <c r="R28" i="72" s="1"/>
  <c r="C18" i="72" l="1"/>
  <c r="F27" i="74" s="1"/>
  <c r="J18" i="103"/>
  <c r="I27" i="103"/>
  <c r="I28" i="103" s="1"/>
  <c r="I23" i="103"/>
  <c r="Z13" i="98"/>
  <c r="J18" i="98"/>
  <c r="I27" i="98"/>
  <c r="I28" i="98" s="1"/>
  <c r="I23" i="98"/>
  <c r="K18" i="103" l="1"/>
  <c r="J27" i="103"/>
  <c r="J28" i="103" s="1"/>
  <c r="J23" i="103"/>
  <c r="K18" i="98"/>
  <c r="J23" i="98"/>
  <c r="J27" i="98"/>
  <c r="J28" i="98" s="1"/>
  <c r="L18" i="103" l="1"/>
  <c r="K23" i="103"/>
  <c r="K27" i="103"/>
  <c r="K28" i="103" s="1"/>
  <c r="L18" i="98"/>
  <c r="K23" i="98"/>
  <c r="K27" i="98"/>
  <c r="K28" i="98" s="1"/>
  <c r="M18" i="103" l="1"/>
  <c r="L27" i="103"/>
  <c r="L28" i="103" s="1"/>
  <c r="L23" i="103"/>
  <c r="M18" i="98"/>
  <c r="L27" i="98"/>
  <c r="L28" i="98" s="1"/>
  <c r="L23" i="98"/>
  <c r="N18" i="103" l="1"/>
  <c r="M23" i="103"/>
  <c r="M27" i="103"/>
  <c r="M28" i="103" s="1"/>
  <c r="N18" i="98"/>
  <c r="M23" i="98"/>
  <c r="M27" i="98"/>
  <c r="M28" i="98" s="1"/>
  <c r="O18" i="103" l="1"/>
  <c r="N27" i="103"/>
  <c r="N28" i="103" s="1"/>
  <c r="N23" i="103"/>
  <c r="C14" i="98"/>
  <c r="F28" i="99" s="1"/>
  <c r="O18" i="98"/>
  <c r="N23" i="98"/>
  <c r="N27" i="98"/>
  <c r="N28" i="98" s="1"/>
  <c r="P18" i="103" l="1"/>
  <c r="O27" i="103"/>
  <c r="O28" i="103" s="1"/>
  <c r="O23" i="103"/>
  <c r="P18" i="98"/>
  <c r="O23" i="98"/>
  <c r="O27" i="98"/>
  <c r="O28" i="98" s="1"/>
  <c r="Q18" i="103" l="1"/>
  <c r="P27" i="103"/>
  <c r="P28" i="103" s="1"/>
  <c r="P23" i="103"/>
  <c r="Q18" i="98"/>
  <c r="P23" i="98"/>
  <c r="P27" i="98"/>
  <c r="P28" i="98" s="1"/>
  <c r="R18" i="103" l="1"/>
  <c r="Q27" i="103"/>
  <c r="Q28" i="103" s="1"/>
  <c r="Q23" i="103"/>
  <c r="R18" i="98"/>
  <c r="Q23" i="98"/>
  <c r="Q27" i="98"/>
  <c r="Q28" i="98" s="1"/>
  <c r="S18" i="103" l="1"/>
  <c r="R27" i="103"/>
  <c r="R28" i="103" s="1"/>
  <c r="R23" i="103"/>
  <c r="S18" i="98"/>
  <c r="R27" i="98"/>
  <c r="R28" i="98" s="1"/>
  <c r="R23" i="98"/>
  <c r="B32" i="29"/>
  <c r="B33" i="29" s="1"/>
  <c r="C30" i="29"/>
  <c r="D30" i="29" s="1"/>
  <c r="E30" i="29" s="1"/>
  <c r="S27" i="103" l="1"/>
  <c r="S28" i="103" s="1"/>
  <c r="S23" i="103"/>
  <c r="C23" i="103" s="1"/>
  <c r="C18" i="103"/>
  <c r="C31" i="29"/>
  <c r="C32" i="29" s="1"/>
  <c r="C33" i="29" s="1"/>
  <c r="E31" i="29"/>
  <c r="F30" i="29"/>
  <c r="C18" i="98"/>
  <c r="S23" i="98"/>
  <c r="C23" i="98" s="1"/>
  <c r="S27" i="98"/>
  <c r="S28" i="98" s="1"/>
  <c r="D31" i="29"/>
  <c r="Z28" i="103" l="1"/>
  <c r="Z29" i="103"/>
  <c r="Z24" i="103"/>
  <c r="Y33" i="103"/>
  <c r="Z30" i="103"/>
  <c r="Z26" i="103"/>
  <c r="Z25" i="103"/>
  <c r="Z31" i="103"/>
  <c r="Z23" i="103"/>
  <c r="F31" i="104"/>
  <c r="F27" i="104" s="1"/>
  <c r="Z27" i="103"/>
  <c r="C27" i="103"/>
  <c r="C28" i="103" s="1"/>
  <c r="D32" i="29"/>
  <c r="E32" i="29" s="1"/>
  <c r="F31" i="99"/>
  <c r="C27" i="98"/>
  <c r="C28" i="98" s="1"/>
  <c r="Z27" i="98"/>
  <c r="Z25" i="98"/>
  <c r="Z29" i="98"/>
  <c r="Z28" i="98"/>
  <c r="Y33" i="98"/>
  <c r="Z31" i="98"/>
  <c r="Z24" i="98"/>
  <c r="Z23" i="98"/>
  <c r="Z26" i="98"/>
  <c r="Z30" i="98"/>
  <c r="G30" i="29"/>
  <c r="F31" i="29"/>
  <c r="Z32" i="103" l="1"/>
  <c r="D33" i="29"/>
  <c r="F27" i="99"/>
  <c r="G31" i="29"/>
  <c r="H30" i="29"/>
  <c r="F32" i="29"/>
  <c r="E33" i="29"/>
  <c r="Z32" i="98"/>
  <c r="F33" i="29" l="1"/>
  <c r="G32" i="29"/>
  <c r="I30" i="29"/>
  <c r="H31" i="29"/>
  <c r="J30" i="29" l="1"/>
  <c r="I31" i="29"/>
  <c r="H32" i="29"/>
  <c r="G33" i="29"/>
  <c r="K30" i="29" l="1"/>
  <c r="J31" i="29"/>
  <c r="I32" i="29"/>
  <c r="H33" i="29"/>
  <c r="K31" i="29" l="1"/>
  <c r="L30" i="29"/>
  <c r="J32" i="29"/>
  <c r="I33" i="29"/>
  <c r="M30" i="29" l="1"/>
  <c r="L31" i="29"/>
  <c r="J33" i="29"/>
  <c r="K32" i="29"/>
  <c r="M31" i="29" l="1"/>
  <c r="N30" i="29"/>
  <c r="L32" i="29"/>
  <c r="K33" i="29"/>
  <c r="O30" i="29" l="1"/>
  <c r="N31" i="29"/>
  <c r="L33" i="29"/>
  <c r="M32" i="29"/>
  <c r="P30" i="29" l="1"/>
  <c r="O31" i="29"/>
  <c r="N32" i="29"/>
  <c r="M33" i="29"/>
  <c r="P31" i="29" l="1"/>
  <c r="Q30" i="29"/>
  <c r="N33" i="29"/>
  <c r="O32" i="29"/>
  <c r="R30" i="29" l="1"/>
  <c r="Q31" i="29"/>
  <c r="P32" i="29"/>
  <c r="O33" i="29"/>
  <c r="S30" i="29" l="1"/>
  <c r="R31" i="29"/>
  <c r="Q32" i="29"/>
  <c r="P33" i="29"/>
  <c r="S31" i="29" l="1"/>
  <c r="T30" i="29"/>
  <c r="R32" i="29"/>
  <c r="Q33" i="29"/>
  <c r="U30" i="29" l="1"/>
  <c r="T31" i="29"/>
  <c r="R33" i="29"/>
  <c r="S32" i="29"/>
  <c r="V30" i="29" l="1"/>
  <c r="U31" i="29"/>
  <c r="T32" i="29"/>
  <c r="S33" i="29"/>
  <c r="W30" i="29" l="1"/>
  <c r="V31" i="29"/>
  <c r="T33" i="29"/>
  <c r="U32" i="29"/>
  <c r="W31" i="29" l="1"/>
  <c r="X30" i="29"/>
  <c r="V32" i="29"/>
  <c r="U33" i="29"/>
  <c r="X31" i="29" l="1"/>
  <c r="Y30" i="29"/>
  <c r="V33" i="29"/>
  <c r="W32" i="29"/>
  <c r="Y31" i="29" l="1"/>
  <c r="Z30" i="29"/>
  <c r="X32" i="29"/>
  <c r="W33" i="29"/>
  <c r="AA30" i="29" l="1"/>
  <c r="Z31" i="29"/>
  <c r="Y32" i="29"/>
  <c r="X33" i="29"/>
  <c r="AB30" i="29" l="1"/>
  <c r="AA31" i="29"/>
  <c r="Z32" i="29"/>
  <c r="Y33" i="29"/>
  <c r="AC30" i="29" l="1"/>
  <c r="AB31" i="29"/>
  <c r="Z33" i="29"/>
  <c r="AA32" i="29"/>
  <c r="AD30" i="29" l="1"/>
  <c r="AD31" i="29" s="1"/>
  <c r="AC31" i="29"/>
  <c r="AB32" i="29"/>
  <c r="AA33" i="29"/>
  <c r="AB33" i="29" l="1"/>
  <c r="AC32" i="29"/>
  <c r="AD32" i="29" l="1"/>
  <c r="AD33" i="29" s="1"/>
  <c r="AC33" i="29"/>
  <c r="I20" i="68"/>
  <c r="J20" i="68" s="1"/>
  <c r="O20" i="68"/>
  <c r="P20" i="68" s="1"/>
  <c r="Q20" i="68" s="1"/>
  <c r="R20" i="68" s="1"/>
  <c r="S20" i="68" s="1"/>
  <c r="D20" i="72" s="1"/>
  <c r="E20" i="72" s="1"/>
  <c r="D22" i="1"/>
  <c r="D23" i="1"/>
  <c r="D24" i="1"/>
  <c r="E5" i="1" s="1"/>
  <c r="F17" i="1"/>
  <c r="F18" i="1"/>
  <c r="G17" i="1"/>
  <c r="G18" i="1"/>
  <c r="H17" i="1"/>
  <c r="H18" i="1"/>
  <c r="I17" i="1"/>
  <c r="I18" i="1"/>
  <c r="J15" i="1"/>
  <c r="K15" i="1" s="1"/>
  <c r="J17" i="1"/>
  <c r="J18" i="1"/>
  <c r="K17" i="1"/>
  <c r="L17" i="1" s="1"/>
  <c r="C17" i="1" s="1"/>
  <c r="M18" i="1"/>
  <c r="N18" i="1" s="1"/>
  <c r="P4" i="1"/>
  <c r="O11" i="1"/>
  <c r="O13" i="1" s="1"/>
  <c r="Q4" i="1"/>
  <c r="P11" i="1" s="1"/>
  <c r="Q17" i="1"/>
  <c r="R17" i="1"/>
  <c r="S17" i="1" s="1"/>
  <c r="E15" i="58"/>
  <c r="F15" i="58" s="1"/>
  <c r="I16" i="58"/>
  <c r="J15" i="58"/>
  <c r="K15" i="58" s="1"/>
  <c r="K27" i="58" s="1"/>
  <c r="K28" i="58" s="1"/>
  <c r="L16" i="58"/>
  <c r="M16" i="58"/>
  <c r="N16" i="58" s="1"/>
  <c r="M17" i="58"/>
  <c r="N17" i="58" s="1"/>
  <c r="O15" i="58"/>
  <c r="P15" i="58"/>
  <c r="Q15" i="58" s="1"/>
  <c r="F15" i="68"/>
  <c r="G15" i="68" s="1"/>
  <c r="F16" i="68"/>
  <c r="G16" i="68" s="1"/>
  <c r="F15" i="72"/>
  <c r="G15" i="72" s="1"/>
  <c r="I11" i="72"/>
  <c r="I13" i="72"/>
  <c r="K11" i="72"/>
  <c r="K13" i="72"/>
  <c r="L11" i="72"/>
  <c r="L13" i="72"/>
  <c r="M11" i="72"/>
  <c r="M13" i="72"/>
  <c r="N11" i="72"/>
  <c r="N13" i="72" s="1"/>
  <c r="P16" i="72"/>
  <c r="Q16" i="72"/>
  <c r="R16" i="72" s="1"/>
  <c r="AA11" i="11"/>
  <c r="AA12" i="11" s="1"/>
  <c r="AA13" i="11" s="1"/>
  <c r="AA14" i="11" s="1"/>
  <c r="AA15" i="11" s="1"/>
  <c r="AA16" i="11" s="1"/>
  <c r="AA17" i="11" s="1"/>
  <c r="AA18" i="11" s="1"/>
  <c r="K11" i="11"/>
  <c r="K33" i="11"/>
  <c r="L33" i="11" s="1"/>
  <c r="J27" i="1"/>
  <c r="J28" i="1" s="1"/>
  <c r="D18" i="11"/>
  <c r="D19" i="11" s="1"/>
  <c r="D20" i="11" s="1"/>
  <c r="D21" i="11" s="1"/>
  <c r="D22" i="11" s="1"/>
  <c r="D23" i="11" s="1"/>
  <c r="D24" i="11" s="1"/>
  <c r="D25" i="11" s="1"/>
  <c r="D32" i="11"/>
  <c r="E32" i="11" s="1"/>
  <c r="M7" i="11" s="1"/>
  <c r="L38" i="11"/>
  <c r="M38" i="11"/>
  <c r="N38" i="11" s="1"/>
  <c r="O38" i="11" s="1"/>
  <c r="P38" i="11" s="1"/>
  <c r="N15" i="11"/>
  <c r="F2" i="72"/>
  <c r="G2" i="72"/>
  <c r="H2" i="72" s="1"/>
  <c r="I2" i="72" s="1"/>
  <c r="J2" i="72" s="1"/>
  <c r="K2" i="72" s="1"/>
  <c r="L2" i="72" s="1"/>
  <c r="M2" i="72" s="1"/>
  <c r="N2" i="72" s="1"/>
  <c r="O2" i="72" s="1"/>
  <c r="P2" i="72" s="1"/>
  <c r="Q2" i="72" s="1"/>
  <c r="R2" i="72" s="1"/>
  <c r="S2" i="72" s="1"/>
  <c r="D2" i="98" s="1"/>
  <c r="D25" i="98" s="1"/>
  <c r="E25" i="98" s="1"/>
  <c r="F25" i="98" s="1"/>
  <c r="G25" i="98" s="1"/>
  <c r="H25" i="98" s="1"/>
  <c r="I25" i="98" s="1"/>
  <c r="J25" i="98" s="1"/>
  <c r="K25" i="98" s="1"/>
  <c r="L25" i="98" s="1"/>
  <c r="M25" i="98" s="1"/>
  <c r="N25" i="98" s="1"/>
  <c r="O25" i="98" s="1"/>
  <c r="P25" i="98" s="1"/>
  <c r="Q25" i="98" s="1"/>
  <c r="R25" i="98" s="1"/>
  <c r="S25" i="98" s="1"/>
  <c r="K26" i="72"/>
  <c r="E25" i="68"/>
  <c r="F25" i="68" s="1"/>
  <c r="G25" i="68" s="1"/>
  <c r="H25" i="68" s="1"/>
  <c r="I25" i="68" s="1"/>
  <c r="J25" i="68" s="1"/>
  <c r="K25" i="68" s="1"/>
  <c r="L25" i="68" s="1"/>
  <c r="M25" i="68" s="1"/>
  <c r="N25" i="68" s="1"/>
  <c r="O25" i="68" s="1"/>
  <c r="P25" i="68" s="1"/>
  <c r="Q25" i="68" s="1"/>
  <c r="R25" i="68" s="1"/>
  <c r="S25" i="68" s="1"/>
  <c r="J27" i="58"/>
  <c r="J28" i="58" s="1"/>
  <c r="E27" i="58"/>
  <c r="E28" i="58" s="1"/>
  <c r="R2" i="1"/>
  <c r="S2" i="1"/>
  <c r="F27" i="72"/>
  <c r="F28" i="72" s="1"/>
  <c r="N26" i="72"/>
  <c r="F27" i="68"/>
  <c r="F28" i="68" s="1"/>
  <c r="G27" i="1"/>
  <c r="G28" i="1"/>
  <c r="H27" i="1"/>
  <c r="H28" i="1"/>
  <c r="I26" i="72"/>
  <c r="M26" i="72"/>
  <c r="L26" i="72"/>
  <c r="M27" i="58"/>
  <c r="M28" i="58" s="1"/>
  <c r="E25" i="1"/>
  <c r="F25" i="1"/>
  <c r="G25" i="1" s="1"/>
  <c r="H25" i="1" s="1"/>
  <c r="I25" i="1" s="1"/>
  <c r="J25" i="1" s="1"/>
  <c r="K25" i="1" s="1"/>
  <c r="L25" i="1" s="1"/>
  <c r="M25" i="1" s="1"/>
  <c r="N25" i="1" s="1"/>
  <c r="O25" i="1" s="1"/>
  <c r="P25" i="1" s="1"/>
  <c r="Q25" i="1" s="1"/>
  <c r="R25" i="1" s="1"/>
  <c r="S25" i="1" s="1"/>
  <c r="F27" i="1"/>
  <c r="F28" i="1" s="1"/>
  <c r="I27" i="1"/>
  <c r="I28" i="1" s="1"/>
  <c r="O26" i="1"/>
  <c r="D30" i="1"/>
  <c r="D31" i="1" s="1"/>
  <c r="F2" i="58"/>
  <c r="G2" i="58" s="1"/>
  <c r="H2" i="58"/>
  <c r="I2" i="58"/>
  <c r="J2" i="58" s="1"/>
  <c r="K2" i="58" s="1"/>
  <c r="L2" i="58" s="1"/>
  <c r="M2" i="58" s="1"/>
  <c r="N2" i="58" s="1"/>
  <c r="O2" i="58" s="1"/>
  <c r="P2" i="58" s="1"/>
  <c r="Q2" i="58" s="1"/>
  <c r="R2" i="58" s="1"/>
  <c r="S2" i="58" s="1"/>
  <c r="F2" i="68"/>
  <c r="G2" i="68"/>
  <c r="H2" i="68" s="1"/>
  <c r="I2" i="68" s="1"/>
  <c r="J2" i="68" s="1"/>
  <c r="K2" i="68" s="1"/>
  <c r="L2" i="68" s="1"/>
  <c r="M2" i="68" s="1"/>
  <c r="N2" i="68" s="1"/>
  <c r="O2" i="68" s="1"/>
  <c r="P2" i="68" s="1"/>
  <c r="Q2" i="68" s="1"/>
  <c r="R2" i="68" s="1"/>
  <c r="S2" i="68" s="1"/>
  <c r="F4" i="72"/>
  <c r="G4" i="72" s="1"/>
  <c r="H4" i="72" s="1"/>
  <c r="I4" i="72" s="1"/>
  <c r="J4" i="72" s="1"/>
  <c r="K4" i="72" s="1"/>
  <c r="L4" i="72" s="1"/>
  <c r="M4" i="72" s="1"/>
  <c r="N4" i="72" s="1"/>
  <c r="O4" i="72" s="1"/>
  <c r="M34" i="9"/>
  <c r="O34" i="9" s="1"/>
  <c r="M33" i="9"/>
  <c r="O33" i="9" s="1"/>
  <c r="M32" i="9"/>
  <c r="O32" i="9" s="1"/>
  <c r="M31" i="9"/>
  <c r="O31" i="9" s="1"/>
  <c r="M30" i="9"/>
  <c r="O30" i="9" s="1"/>
  <c r="M29" i="9"/>
  <c r="O29" i="9" s="1"/>
  <c r="M28" i="9"/>
  <c r="O28" i="9" s="1"/>
  <c r="M27" i="9"/>
  <c r="O27" i="9" s="1"/>
  <c r="M26" i="9"/>
  <c r="O26" i="9" s="1"/>
  <c r="M25" i="9"/>
  <c r="O25" i="9" s="1"/>
  <c r="M24" i="9"/>
  <c r="O24" i="9" s="1"/>
  <c r="O23" i="9"/>
  <c r="D7" i="41"/>
  <c r="D8" i="41" s="1"/>
  <c r="F8" i="41" s="1"/>
  <c r="D10" i="41"/>
  <c r="D11" i="41" s="1"/>
  <c r="E9" i="41"/>
  <c r="E10" i="41" s="1"/>
  <c r="H15" i="72" l="1"/>
  <c r="G27" i="72"/>
  <c r="G28" i="72" s="1"/>
  <c r="O18" i="1"/>
  <c r="P18" i="1" s="1"/>
  <c r="Q18" i="1" s="1"/>
  <c r="R18" i="1" s="1"/>
  <c r="C18" i="1"/>
  <c r="L15" i="1"/>
  <c r="K27" i="1"/>
  <c r="K28" i="1" s="1"/>
  <c r="S16" i="72"/>
  <c r="C16" i="72"/>
  <c r="F32" i="74" s="1"/>
  <c r="F31" i="74" s="1"/>
  <c r="H16" i="68"/>
  <c r="I16" i="68" s="1"/>
  <c r="J16" i="68" s="1"/>
  <c r="K16" i="68" s="1"/>
  <c r="L16" i="68" s="1"/>
  <c r="M16" i="68" s="1"/>
  <c r="N16" i="68" s="1"/>
  <c r="O16" i="68" s="1"/>
  <c r="P16" i="68" s="1"/>
  <c r="Q16" i="68" s="1"/>
  <c r="N27" i="58"/>
  <c r="N28" i="58" s="1"/>
  <c r="O17" i="58"/>
  <c r="P26" i="1"/>
  <c r="P13" i="1"/>
  <c r="F24" i="60"/>
  <c r="E22" i="1"/>
  <c r="K20" i="68"/>
  <c r="L20" i="68" s="1"/>
  <c r="H15" i="68"/>
  <c r="G27" i="68"/>
  <c r="G28" i="68" s="1"/>
  <c r="O16" i="58"/>
  <c r="P16" i="58" s="1"/>
  <c r="Q16" i="58" s="1"/>
  <c r="F27" i="58"/>
  <c r="F28" i="58" s="1"/>
  <c r="G15" i="58"/>
  <c r="R15" i="58"/>
  <c r="O11" i="72"/>
  <c r="R4" i="1"/>
  <c r="Q11" i="1" s="1"/>
  <c r="D26" i="11"/>
  <c r="E25" i="11"/>
  <c r="F25" i="11" s="1"/>
  <c r="F32" i="11"/>
  <c r="G32" i="11" s="1"/>
  <c r="H32" i="11" s="1"/>
  <c r="I32" i="11" s="1"/>
  <c r="J32" i="11" s="1"/>
  <c r="K32" i="11" s="1"/>
  <c r="L32" i="11" s="1"/>
  <c r="M32" i="11" s="1"/>
  <c r="N32" i="11" s="1"/>
  <c r="O32" i="11" s="1"/>
  <c r="P32" i="11" s="1"/>
  <c r="Q32" i="11" s="1"/>
  <c r="E2" i="98"/>
  <c r="F2" i="98" s="1"/>
  <c r="G2" i="98" s="1"/>
  <c r="H2" i="98" s="1"/>
  <c r="I2" i="98" s="1"/>
  <c r="J2" i="98" s="1"/>
  <c r="K2" i="98" s="1"/>
  <c r="L2" i="98" s="1"/>
  <c r="M2" i="98" s="1"/>
  <c r="N2" i="98" s="1"/>
  <c r="O2" i="98" s="1"/>
  <c r="P2" i="98" s="1"/>
  <c r="Q2" i="98" s="1"/>
  <c r="R2" i="98" s="1"/>
  <c r="S2" i="98" s="1"/>
  <c r="D2" i="100" s="1"/>
  <c r="D25" i="100" s="1"/>
  <c r="E25" i="100" s="1"/>
  <c r="F25" i="100" s="1"/>
  <c r="G25" i="100" s="1"/>
  <c r="H25" i="100" s="1"/>
  <c r="I25" i="100" s="1"/>
  <c r="J25" i="100" s="1"/>
  <c r="K25" i="100" s="1"/>
  <c r="L25" i="100" s="1"/>
  <c r="M25" i="100" s="1"/>
  <c r="N25" i="100" s="1"/>
  <c r="O25" i="100" s="1"/>
  <c r="P25" i="100" s="1"/>
  <c r="Q25" i="100" s="1"/>
  <c r="R25" i="100" s="1"/>
  <c r="S25" i="100" s="1"/>
  <c r="F9" i="41"/>
  <c r="F7" i="41"/>
  <c r="E11" i="41"/>
  <c r="E12" i="41" s="1"/>
  <c r="E13" i="41" s="1"/>
  <c r="E14" i="41" s="1"/>
  <c r="E15" i="41" s="1"/>
  <c r="E16" i="41" s="1"/>
  <c r="E17" i="41" s="1"/>
  <c r="F10" i="41"/>
  <c r="D12" i="41"/>
  <c r="F20" i="72"/>
  <c r="S15" i="58" l="1"/>
  <c r="S27" i="58" s="1"/>
  <c r="S28" i="58" s="1"/>
  <c r="H15" i="58"/>
  <c r="G27" i="58"/>
  <c r="G28" i="58" s="1"/>
  <c r="E23" i="1"/>
  <c r="E30" i="1"/>
  <c r="E31" i="1" s="1"/>
  <c r="P17" i="58"/>
  <c r="O27" i="58"/>
  <c r="O28" i="58" s="1"/>
  <c r="M15" i="1"/>
  <c r="L27" i="1"/>
  <c r="L28" i="1" s="1"/>
  <c r="C20" i="68"/>
  <c r="I15" i="72"/>
  <c r="H27" i="72"/>
  <c r="H28" i="72" s="1"/>
  <c r="Q13" i="1"/>
  <c r="C13" i="1" s="1"/>
  <c r="Q26" i="1"/>
  <c r="C11" i="1"/>
  <c r="F25" i="60"/>
  <c r="O13" i="72"/>
  <c r="C13" i="72" s="1"/>
  <c r="C11" i="72"/>
  <c r="O26" i="72"/>
  <c r="C16" i="58"/>
  <c r="H27" i="68"/>
  <c r="H28" i="68" s="1"/>
  <c r="I15" i="68"/>
  <c r="C16" i="68"/>
  <c r="F30" i="67" s="1"/>
  <c r="F29" i="67" s="1"/>
  <c r="P4" i="72"/>
  <c r="Q4" i="72" s="1"/>
  <c r="R4" i="72" s="1"/>
  <c r="S4" i="72" s="1"/>
  <c r="E2" i="100"/>
  <c r="F2" i="100" s="1"/>
  <c r="G2" i="100" s="1"/>
  <c r="H2" i="100" s="1"/>
  <c r="I2" i="100" s="1"/>
  <c r="J2" i="100" s="1"/>
  <c r="K2" i="100" s="1"/>
  <c r="L2" i="100" s="1"/>
  <c r="M2" i="100" s="1"/>
  <c r="N2" i="100" s="1"/>
  <c r="O2" i="100" s="1"/>
  <c r="P2" i="100" s="1"/>
  <c r="Q2" i="100" s="1"/>
  <c r="R2" i="100" s="1"/>
  <c r="S2" i="100" s="1"/>
  <c r="D2" i="103" s="1"/>
  <c r="E2" i="103" s="1"/>
  <c r="F2" i="103" s="1"/>
  <c r="G2" i="103" s="1"/>
  <c r="H2" i="103" s="1"/>
  <c r="I2" i="103" s="1"/>
  <c r="J2" i="103" s="1"/>
  <c r="K2" i="103" s="1"/>
  <c r="L2" i="103" s="1"/>
  <c r="M2" i="103" s="1"/>
  <c r="N2" i="103" s="1"/>
  <c r="O2" i="103" s="1"/>
  <c r="P2" i="103" s="1"/>
  <c r="Q2" i="103" s="1"/>
  <c r="R2" i="103" s="1"/>
  <c r="S2" i="103" s="1"/>
  <c r="D2" i="107" s="1"/>
  <c r="D27" i="11"/>
  <c r="E27" i="11"/>
  <c r="F27" i="11" s="1"/>
  <c r="G27" i="11" s="1"/>
  <c r="F11" i="41"/>
  <c r="F12" i="41"/>
  <c r="D13" i="41"/>
  <c r="G20" i="72"/>
  <c r="Z9" i="72" l="1"/>
  <c r="Z6" i="72"/>
  <c r="Z12" i="72"/>
  <c r="Z10" i="72"/>
  <c r="Z7" i="72"/>
  <c r="Z8" i="72"/>
  <c r="Y14" i="72"/>
  <c r="C20" i="60"/>
  <c r="Z11" i="1"/>
  <c r="C26" i="1"/>
  <c r="J15" i="72"/>
  <c r="I27" i="72"/>
  <c r="I28" i="72" s="1"/>
  <c r="P27" i="58"/>
  <c r="P28" i="58" s="1"/>
  <c r="Q17" i="58"/>
  <c r="F30" i="61"/>
  <c r="F29" i="61" s="1"/>
  <c r="C6" i="61"/>
  <c r="H27" i="58"/>
  <c r="H28" i="58" s="1"/>
  <c r="C15" i="58"/>
  <c r="Z8" i="1"/>
  <c r="Z10" i="1"/>
  <c r="Z6" i="1"/>
  <c r="Z12" i="1"/>
  <c r="Z9" i="1"/>
  <c r="AA9" i="1" s="1"/>
  <c r="Z7" i="1"/>
  <c r="N15" i="1"/>
  <c r="M27" i="1"/>
  <c r="M28" i="1" s="1"/>
  <c r="J15" i="68"/>
  <c r="I27" i="68"/>
  <c r="I28" i="68" s="1"/>
  <c r="C26" i="72"/>
  <c r="C23" i="74"/>
  <c r="C22" i="74" s="1"/>
  <c r="Z11" i="72"/>
  <c r="C8" i="74"/>
  <c r="F18" i="67"/>
  <c r="F17" i="67" s="1"/>
  <c r="C7" i="67"/>
  <c r="E24" i="1"/>
  <c r="F5" i="1" s="1"/>
  <c r="D25" i="103"/>
  <c r="E25" i="103" s="1"/>
  <c r="F25" i="103" s="1"/>
  <c r="G25" i="103" s="1"/>
  <c r="H25" i="103" s="1"/>
  <c r="I25" i="103" s="1"/>
  <c r="J25" i="103" s="1"/>
  <c r="K25" i="103" s="1"/>
  <c r="L25" i="103" s="1"/>
  <c r="M25" i="103" s="1"/>
  <c r="N25" i="103" s="1"/>
  <c r="O25" i="103" s="1"/>
  <c r="P25" i="103" s="1"/>
  <c r="Q25" i="103" s="1"/>
  <c r="R25" i="103" s="1"/>
  <c r="S25" i="103" s="1"/>
  <c r="D25" i="107"/>
  <c r="E25" i="107" s="1"/>
  <c r="F25" i="107" s="1"/>
  <c r="G25" i="107" s="1"/>
  <c r="H25" i="107" s="1"/>
  <c r="I25" i="107" s="1"/>
  <c r="J25" i="107" s="1"/>
  <c r="K25" i="107" s="1"/>
  <c r="L25" i="107" s="1"/>
  <c r="M25" i="107" s="1"/>
  <c r="N25" i="107" s="1"/>
  <c r="O25" i="107" s="1"/>
  <c r="P25" i="107" s="1"/>
  <c r="Q25" i="107" s="1"/>
  <c r="R25" i="107" s="1"/>
  <c r="S25" i="107" s="1"/>
  <c r="E2" i="107"/>
  <c r="F2" i="107" s="1"/>
  <c r="G2" i="107" s="1"/>
  <c r="H2" i="107" s="1"/>
  <c r="I2" i="107" s="1"/>
  <c r="J2" i="107" s="1"/>
  <c r="K2" i="107" s="1"/>
  <c r="L2" i="107" s="1"/>
  <c r="M2" i="107" s="1"/>
  <c r="N2" i="107" s="1"/>
  <c r="O2" i="107" s="1"/>
  <c r="P2" i="107" s="1"/>
  <c r="Q2" i="107" s="1"/>
  <c r="R2" i="107" s="1"/>
  <c r="S2" i="107" s="1"/>
  <c r="D2" i="112" s="1"/>
  <c r="F13" i="41"/>
  <c r="D14" i="41"/>
  <c r="H20" i="72"/>
  <c r="F22" i="1" l="1"/>
  <c r="C8" i="99"/>
  <c r="C9" i="99"/>
  <c r="C8" i="101" s="1"/>
  <c r="C8" i="104" s="1"/>
  <c r="C8" i="108" s="1"/>
  <c r="C8" i="113" s="1"/>
  <c r="C8" i="119" s="1"/>
  <c r="W5" i="119" s="1"/>
  <c r="C7" i="74"/>
  <c r="C6" i="67"/>
  <c r="C5" i="67" s="1"/>
  <c r="C5" i="61"/>
  <c r="C19" i="60"/>
  <c r="N27" i="1"/>
  <c r="N28" i="1" s="1"/>
  <c r="O15" i="1"/>
  <c r="F23" i="61"/>
  <c r="J27" i="72"/>
  <c r="J28" i="72" s="1"/>
  <c r="K15" i="72"/>
  <c r="K15" i="68"/>
  <c r="J27" i="68"/>
  <c r="J28" i="68" s="1"/>
  <c r="Z13" i="1"/>
  <c r="R17" i="58"/>
  <c r="R27" i="58" s="1"/>
  <c r="R28" i="58" s="1"/>
  <c r="Q27" i="58"/>
  <c r="Q28" i="58" s="1"/>
  <c r="C17" i="58"/>
  <c r="F24" i="61" s="1"/>
  <c r="Z13" i="72"/>
  <c r="D25" i="112"/>
  <c r="E25" i="112" s="1"/>
  <c r="F25" i="112" s="1"/>
  <c r="G25" i="112" s="1"/>
  <c r="H25" i="112" s="1"/>
  <c r="I25" i="112" s="1"/>
  <c r="J25" i="112" s="1"/>
  <c r="K25" i="112" s="1"/>
  <c r="L25" i="112" s="1"/>
  <c r="M25" i="112" s="1"/>
  <c r="N25" i="112" s="1"/>
  <c r="O25" i="112" s="1"/>
  <c r="P25" i="112" s="1"/>
  <c r="Q25" i="112" s="1"/>
  <c r="R25" i="112" s="1"/>
  <c r="S25" i="112" s="1"/>
  <c r="E2" i="112"/>
  <c r="F2" i="112" s="1"/>
  <c r="G2" i="112" s="1"/>
  <c r="H2" i="112" s="1"/>
  <c r="I2" i="112" s="1"/>
  <c r="J2" i="112" s="1"/>
  <c r="K2" i="112" s="1"/>
  <c r="L2" i="112" s="1"/>
  <c r="M2" i="112" s="1"/>
  <c r="N2" i="112" s="1"/>
  <c r="O2" i="112" s="1"/>
  <c r="P2" i="112" s="1"/>
  <c r="Q2" i="112" s="1"/>
  <c r="R2" i="112" s="1"/>
  <c r="S2" i="112" s="1"/>
  <c r="D2" i="118" s="1"/>
  <c r="L23" i="11"/>
  <c r="M25" i="11"/>
  <c r="D15" i="41"/>
  <c r="F14" i="41"/>
  <c r="I20" i="72"/>
  <c r="W10" i="119" l="1"/>
  <c r="W11" i="119" s="1"/>
  <c r="X10" i="119"/>
  <c r="X11" i="119" s="1"/>
  <c r="L15" i="68"/>
  <c r="K27" i="68"/>
  <c r="K28" i="68" s="1"/>
  <c r="D25" i="118"/>
  <c r="E25" i="118" s="1"/>
  <c r="F25" i="118" s="1"/>
  <c r="G25" i="118" s="1"/>
  <c r="H25" i="118" s="1"/>
  <c r="I25" i="118" s="1"/>
  <c r="J25" i="118" s="1"/>
  <c r="K25" i="118" s="1"/>
  <c r="L25" i="118" s="1"/>
  <c r="M25" i="118" s="1"/>
  <c r="N25" i="118" s="1"/>
  <c r="O25" i="118" s="1"/>
  <c r="P25" i="118" s="1"/>
  <c r="Q25" i="118" s="1"/>
  <c r="R25" i="118" s="1"/>
  <c r="S25" i="118" s="1"/>
  <c r="E2" i="118"/>
  <c r="F2" i="118" s="1"/>
  <c r="G2" i="118" s="1"/>
  <c r="H2" i="118" s="1"/>
  <c r="I2" i="118" s="1"/>
  <c r="J2" i="118" s="1"/>
  <c r="K2" i="118" s="1"/>
  <c r="L2" i="118" s="1"/>
  <c r="M2" i="118" s="1"/>
  <c r="N2" i="118" s="1"/>
  <c r="O2" i="118" s="1"/>
  <c r="P2" i="118" s="1"/>
  <c r="Q2" i="118" s="1"/>
  <c r="R2" i="118" s="1"/>
  <c r="S2" i="118" s="1"/>
  <c r="C27" i="58"/>
  <c r="C28" i="58" s="1"/>
  <c r="L15" i="72"/>
  <c r="K27" i="72"/>
  <c r="K28" i="72" s="1"/>
  <c r="F23" i="1"/>
  <c r="F30" i="1"/>
  <c r="F31" i="1" s="1"/>
  <c r="P15" i="1"/>
  <c r="O27" i="1"/>
  <c r="O28" i="1" s="1"/>
  <c r="C29" i="60"/>
  <c r="D19" i="60" s="1"/>
  <c r="C6" i="74"/>
  <c r="C7" i="99"/>
  <c r="M23" i="11"/>
  <c r="N25" i="11"/>
  <c r="F15" i="41"/>
  <c r="D16" i="41"/>
  <c r="J20" i="72"/>
  <c r="F24" i="1" l="1"/>
  <c r="G5" i="1" s="1"/>
  <c r="Q15" i="1"/>
  <c r="P27" i="1"/>
  <c r="P28" i="1" s="1"/>
  <c r="C6" i="99"/>
  <c r="C7" i="101"/>
  <c r="D25" i="60"/>
  <c r="D13" i="60"/>
  <c r="D23" i="60"/>
  <c r="D11" i="60"/>
  <c r="D22" i="60"/>
  <c r="D10" i="60"/>
  <c r="D7" i="60"/>
  <c r="D6" i="60"/>
  <c r="D16" i="60"/>
  <c r="D17" i="60"/>
  <c r="D24" i="60"/>
  <c r="D5" i="60"/>
  <c r="D21" i="60"/>
  <c r="D29" i="60"/>
  <c r="D14" i="60"/>
  <c r="D8" i="60"/>
  <c r="D12" i="60"/>
  <c r="D20" i="60"/>
  <c r="M15" i="72"/>
  <c r="L27" i="72"/>
  <c r="L28" i="72" s="1"/>
  <c r="L27" i="68"/>
  <c r="L28" i="68" s="1"/>
  <c r="M15" i="68"/>
  <c r="O25" i="11"/>
  <c r="N23" i="11"/>
  <c r="F16" i="41"/>
  <c r="D17" i="41"/>
  <c r="F17" i="41" s="1"/>
  <c r="K20" i="72"/>
  <c r="M27" i="68" l="1"/>
  <c r="M28" i="68" s="1"/>
  <c r="N15" i="68"/>
  <c r="M27" i="72"/>
  <c r="M28" i="72" s="1"/>
  <c r="N15" i="72"/>
  <c r="C7" i="104"/>
  <c r="C6" i="101"/>
  <c r="R15" i="1"/>
  <c r="Q27" i="1"/>
  <c r="Q28" i="1" s="1"/>
  <c r="G22" i="1"/>
  <c r="P25" i="11"/>
  <c r="O23" i="11"/>
  <c r="L20" i="72"/>
  <c r="R27" i="1" l="1"/>
  <c r="R28" i="1" s="1"/>
  <c r="S15" i="1"/>
  <c r="C15" i="1"/>
  <c r="G30" i="1"/>
  <c r="G31" i="1" s="1"/>
  <c r="G23" i="1"/>
  <c r="C7" i="108"/>
  <c r="C6" i="104"/>
  <c r="N27" i="68"/>
  <c r="N28" i="68" s="1"/>
  <c r="O15" i="68"/>
  <c r="O15" i="72"/>
  <c r="N27" i="72"/>
  <c r="N28" i="72" s="1"/>
  <c r="P23" i="11"/>
  <c r="Q25" i="11"/>
  <c r="M20" i="72"/>
  <c r="C7" i="113" l="1"/>
  <c r="C6" i="108"/>
  <c r="F23" i="60"/>
  <c r="C27" i="1"/>
  <c r="C28" i="1" s="1"/>
  <c r="P15" i="72"/>
  <c r="O27" i="72"/>
  <c r="O28" i="72" s="1"/>
  <c r="P15" i="68"/>
  <c r="O27" i="68"/>
  <c r="O28" i="68" s="1"/>
  <c r="S27" i="1"/>
  <c r="S28" i="1" s="1"/>
  <c r="G24" i="1"/>
  <c r="H5" i="1" s="1"/>
  <c r="Q23" i="11"/>
  <c r="R25" i="11"/>
  <c r="N20" i="72"/>
  <c r="P27" i="68" l="1"/>
  <c r="P28" i="68" s="1"/>
  <c r="Q15" i="68"/>
  <c r="P27" i="72"/>
  <c r="P28" i="72" s="1"/>
  <c r="C15" i="72"/>
  <c r="H22" i="1"/>
  <c r="C6" i="113"/>
  <c r="C7" i="119"/>
  <c r="C6" i="119" s="1"/>
  <c r="R23" i="11"/>
  <c r="S25" i="11"/>
  <c r="O20" i="72"/>
  <c r="H23" i="1" l="1"/>
  <c r="H30" i="1"/>
  <c r="H31" i="1" s="1"/>
  <c r="F25" i="74"/>
  <c r="C27" i="72"/>
  <c r="C28" i="72" s="1"/>
  <c r="R15" i="68"/>
  <c r="Q27" i="68"/>
  <c r="Q28" i="68" s="1"/>
  <c r="T25" i="11"/>
  <c r="S23" i="11"/>
  <c r="P20" i="72"/>
  <c r="T23" i="11" l="1"/>
  <c r="U25" i="11"/>
  <c r="S15" i="68"/>
  <c r="R27" i="68"/>
  <c r="R28" i="68" s="1"/>
  <c r="H24" i="1"/>
  <c r="I5" i="1" s="1"/>
  <c r="Q20" i="72"/>
  <c r="U23" i="11" l="1"/>
  <c r="V25" i="11"/>
  <c r="I22" i="1"/>
  <c r="S27" i="68"/>
  <c r="S28" i="68" s="1"/>
  <c r="C15" i="68"/>
  <c r="R20" i="72"/>
  <c r="W25" i="11" l="1"/>
  <c r="V23" i="11"/>
  <c r="F23" i="67"/>
  <c r="C27" i="68"/>
  <c r="C28" i="68" s="1"/>
  <c r="I30" i="1"/>
  <c r="I31" i="1" s="1"/>
  <c r="I23" i="1"/>
  <c r="S20" i="72"/>
  <c r="X25" i="11" l="1"/>
  <c r="W23" i="11"/>
  <c r="I24" i="1"/>
  <c r="J5" i="1" s="1"/>
  <c r="C20" i="72"/>
  <c r="Y25" i="11" l="1"/>
  <c r="X23" i="11"/>
  <c r="J22" i="1"/>
  <c r="F20" i="74"/>
  <c r="Y23" i="11" l="1"/>
  <c r="Z25" i="11"/>
  <c r="J23" i="1"/>
  <c r="J24" i="1" s="1"/>
  <c r="K5" i="1" s="1"/>
  <c r="J30" i="1"/>
  <c r="J31" i="1" s="1"/>
  <c r="F19" i="74"/>
  <c r="K22" i="1" l="1"/>
  <c r="K30" i="1" l="1"/>
  <c r="K31" i="1" s="1"/>
  <c r="K23" i="1"/>
  <c r="K24" i="1" s="1"/>
  <c r="L5" i="1" s="1"/>
  <c r="L22" i="1" l="1"/>
  <c r="L30" i="1" l="1"/>
  <c r="L31" i="1" s="1"/>
  <c r="L23" i="1"/>
  <c r="L24" i="1" s="1"/>
  <c r="M5" i="1" s="1"/>
  <c r="M22" i="1" l="1"/>
  <c r="M30" i="1" l="1"/>
  <c r="M31" i="1" s="1"/>
  <c r="M23" i="1"/>
  <c r="M24" i="1" s="1"/>
  <c r="N5" i="1" s="1"/>
  <c r="N22" i="1" l="1"/>
  <c r="N30" i="1" l="1"/>
  <c r="N31" i="1" s="1"/>
  <c r="N23" i="1"/>
  <c r="N24" i="1" s="1"/>
  <c r="O5" i="1" s="1"/>
  <c r="O22" i="1" l="1"/>
  <c r="O30" i="1" l="1"/>
  <c r="O31" i="1" s="1"/>
  <c r="O23" i="1"/>
  <c r="O24" i="1" s="1"/>
  <c r="P5" i="1" s="1"/>
  <c r="P22" i="1" l="1"/>
  <c r="P30" i="1" l="1"/>
  <c r="P31" i="1" s="1"/>
  <c r="P23" i="1"/>
  <c r="P24" i="1" s="1"/>
  <c r="Q5" i="1" s="1"/>
  <c r="Q22" i="1" l="1"/>
  <c r="Q30" i="1" l="1"/>
  <c r="Q31" i="1" s="1"/>
  <c r="Q23" i="1"/>
  <c r="Q24" i="1" s="1"/>
  <c r="R5" i="1" s="1"/>
  <c r="R22" i="1" l="1"/>
  <c r="R30" i="1" l="1"/>
  <c r="R31" i="1" s="1"/>
  <c r="R23" i="1"/>
  <c r="R24" i="1" s="1"/>
  <c r="S5" i="1" s="1"/>
  <c r="S22" i="1" l="1"/>
  <c r="S30" i="1" l="1"/>
  <c r="S31" i="1" s="1"/>
  <c r="S23" i="1"/>
  <c r="C22" i="1"/>
  <c r="C30" i="1" l="1"/>
  <c r="C31" i="1" s="1"/>
  <c r="F27" i="60"/>
  <c r="C23" i="1"/>
  <c r="S24" i="1"/>
  <c r="C5" i="58" s="1"/>
  <c r="Z29" i="1" l="1"/>
  <c r="Z23" i="1"/>
  <c r="Z28" i="1"/>
  <c r="Z30" i="1"/>
  <c r="Z25" i="1"/>
  <c r="Z26" i="1"/>
  <c r="Z27" i="1"/>
  <c r="C24" i="1"/>
  <c r="Z24" i="1"/>
  <c r="F21" i="60"/>
  <c r="Z31" i="1"/>
  <c r="C28" i="61"/>
  <c r="C32" i="61" s="1"/>
  <c r="D5" i="58"/>
  <c r="D22" i="58" l="1"/>
  <c r="F16" i="60"/>
  <c r="Z32" i="1"/>
  <c r="D28" i="61"/>
  <c r="D12" i="61"/>
  <c r="D8" i="61"/>
  <c r="D22" i="61"/>
  <c r="D32" i="61"/>
  <c r="D26" i="61"/>
  <c r="D17" i="61"/>
  <c r="D11" i="61"/>
  <c r="D13" i="61"/>
  <c r="D21" i="61"/>
  <c r="D16" i="61"/>
  <c r="D24" i="61"/>
  <c r="D25" i="61"/>
  <c r="D7" i="61"/>
  <c r="D14" i="61"/>
  <c r="D10" i="61"/>
  <c r="D23" i="61"/>
  <c r="D18" i="61"/>
  <c r="D6" i="61"/>
  <c r="D5" i="61"/>
  <c r="F10" i="60" l="1"/>
  <c r="D23" i="58"/>
  <c r="D24" i="58" s="1"/>
  <c r="E5" i="58" s="1"/>
  <c r="D30" i="58"/>
  <c r="D31" i="58" s="1"/>
  <c r="E22" i="58" l="1"/>
  <c r="C34" i="60"/>
  <c r="F29" i="60"/>
  <c r="G7" i="60" l="1"/>
  <c r="G11" i="60"/>
  <c r="G5" i="60"/>
  <c r="G19" i="60"/>
  <c r="G24" i="60"/>
  <c r="G13" i="60"/>
  <c r="G18" i="60"/>
  <c r="G26" i="60"/>
  <c r="G15" i="60"/>
  <c r="G25" i="60"/>
  <c r="G6" i="60"/>
  <c r="G14" i="60"/>
  <c r="G8" i="60"/>
  <c r="G29" i="60"/>
  <c r="G12" i="60"/>
  <c r="G22" i="60"/>
  <c r="F35" i="60"/>
  <c r="G23" i="60"/>
  <c r="G27" i="60"/>
  <c r="G21" i="60"/>
  <c r="G16" i="60"/>
  <c r="G10" i="60"/>
  <c r="E23" i="58"/>
  <c r="E30" i="58"/>
  <c r="E31" i="58" s="1"/>
  <c r="E24" i="58" l="1"/>
  <c r="F5" i="58" s="1"/>
  <c r="F22" i="58" l="1"/>
  <c r="F30" i="58" l="1"/>
  <c r="F31" i="58" s="1"/>
  <c r="F23" i="58"/>
  <c r="F24" i="58" l="1"/>
  <c r="G5" i="58" s="1"/>
  <c r="G22" i="58" l="1"/>
  <c r="G23" i="58" l="1"/>
  <c r="G30" i="58"/>
  <c r="G31" i="58" s="1"/>
  <c r="G24" i="58" l="1"/>
  <c r="H5" i="58" s="1"/>
  <c r="H22" i="58" l="1"/>
  <c r="H23" i="58" l="1"/>
  <c r="H30" i="58"/>
  <c r="H31" i="58" s="1"/>
  <c r="H24" i="58" l="1"/>
  <c r="I5" i="58" s="1"/>
  <c r="I22" i="58" s="1"/>
  <c r="I23" i="58" l="1"/>
  <c r="I24" i="58" s="1"/>
  <c r="J5" i="58" s="1"/>
  <c r="J22" i="58" s="1"/>
  <c r="I30" i="58"/>
  <c r="I31" i="58" s="1"/>
  <c r="J30" i="58" l="1"/>
  <c r="J31" i="58" s="1"/>
  <c r="J23" i="58"/>
  <c r="J24" i="58" s="1"/>
  <c r="K5" i="58" s="1"/>
  <c r="K22" i="58" s="1"/>
  <c r="K30" i="58" l="1"/>
  <c r="K31" i="58" s="1"/>
  <c r="K23" i="58"/>
  <c r="K24" i="58" s="1"/>
  <c r="L5" i="58" s="1"/>
  <c r="L22" i="58" s="1"/>
  <c r="L30" i="58" l="1"/>
  <c r="L31" i="58" s="1"/>
  <c r="L23" i="58"/>
  <c r="L24" i="58" s="1"/>
  <c r="M5" i="58" s="1"/>
  <c r="M22" i="58" s="1"/>
  <c r="M30" i="58" l="1"/>
  <c r="M31" i="58" s="1"/>
  <c r="M23" i="58"/>
  <c r="M24" i="58" s="1"/>
  <c r="N5" i="58" s="1"/>
  <c r="N22" i="58" s="1"/>
  <c r="N30" i="58" l="1"/>
  <c r="N31" i="58" s="1"/>
  <c r="N23" i="58"/>
  <c r="N24" i="58" s="1"/>
  <c r="O5" i="58" s="1"/>
  <c r="O22" i="58" s="1"/>
  <c r="O23" i="58" l="1"/>
  <c r="O24" i="58" s="1"/>
  <c r="P5" i="58" s="1"/>
  <c r="P22" i="58" s="1"/>
  <c r="O30" i="58"/>
  <c r="O31" i="58" s="1"/>
  <c r="P30" i="58" l="1"/>
  <c r="P31" i="58" s="1"/>
  <c r="P23" i="58"/>
  <c r="P24" i="58" s="1"/>
  <c r="Q5" i="58" s="1"/>
  <c r="Q22" i="58" s="1"/>
  <c r="Q30" i="58" l="1"/>
  <c r="Q31" i="58" s="1"/>
  <c r="Q23" i="58"/>
  <c r="Q24" i="58" s="1"/>
  <c r="R5" i="58" s="1"/>
  <c r="R22" i="58" s="1"/>
  <c r="R23" i="58" l="1"/>
  <c r="R24" i="58" s="1"/>
  <c r="S5" i="58" s="1"/>
  <c r="R30" i="58"/>
  <c r="R31" i="58" s="1"/>
  <c r="S22" i="58" l="1"/>
  <c r="S23" i="58" l="1"/>
  <c r="S30" i="58"/>
  <c r="S31" i="58" s="1"/>
  <c r="C22" i="58"/>
  <c r="F27" i="61" l="1"/>
  <c r="C30" i="58"/>
  <c r="C31" i="58" s="1"/>
  <c r="C23" i="58"/>
  <c r="S24" i="58"/>
  <c r="C5" i="68" s="1"/>
  <c r="Z27" i="58" l="1"/>
  <c r="Z26" i="58"/>
  <c r="Z25" i="58"/>
  <c r="Z24" i="58"/>
  <c r="Z23" i="58"/>
  <c r="Z28" i="58"/>
  <c r="Z30" i="58"/>
  <c r="Z29" i="58"/>
  <c r="Y33" i="58"/>
  <c r="C24" i="58"/>
  <c r="F21" i="61"/>
  <c r="D5" i="68"/>
  <c r="C28" i="67"/>
  <c r="C33" i="67" s="1"/>
  <c r="Z31" i="58"/>
  <c r="F15" i="61" l="1"/>
  <c r="D28" i="67"/>
  <c r="D8" i="67"/>
  <c r="D25" i="67"/>
  <c r="D17" i="67"/>
  <c r="D23" i="67"/>
  <c r="D14" i="67"/>
  <c r="D21" i="67"/>
  <c r="D33" i="67"/>
  <c r="D22" i="67"/>
  <c r="D24" i="67"/>
  <c r="D16" i="67"/>
  <c r="D18" i="67"/>
  <c r="D12" i="67"/>
  <c r="D10" i="67"/>
  <c r="D7" i="67"/>
  <c r="D26" i="67"/>
  <c r="D6" i="67"/>
  <c r="D13" i="67"/>
  <c r="D11" i="67"/>
  <c r="D5" i="67"/>
  <c r="D22" i="68"/>
  <c r="Z32" i="58"/>
  <c r="D30" i="68" l="1"/>
  <c r="D31" i="68" s="1"/>
  <c r="D23" i="68"/>
  <c r="D24" i="68" s="1"/>
  <c r="E5" i="68" s="1"/>
  <c r="F10" i="61"/>
  <c r="F8" i="67" l="1"/>
  <c r="F32" i="61"/>
  <c r="E22" i="68"/>
  <c r="E30" i="68" l="1"/>
  <c r="E31" i="68" s="1"/>
  <c r="E23" i="68"/>
  <c r="E24" i="68" s="1"/>
  <c r="F5" i="68" s="1"/>
  <c r="G26" i="61"/>
  <c r="G13" i="61"/>
  <c r="G8" i="61"/>
  <c r="G19" i="61"/>
  <c r="G11" i="61"/>
  <c r="G32" i="61"/>
  <c r="G23" i="61"/>
  <c r="G5" i="61"/>
  <c r="G7" i="61"/>
  <c r="G29" i="61"/>
  <c r="G18" i="61"/>
  <c r="G22" i="61"/>
  <c r="G12" i="61"/>
  <c r="G14" i="61"/>
  <c r="F34" i="61"/>
  <c r="G30" i="61"/>
  <c r="G24" i="61"/>
  <c r="G6" i="61"/>
  <c r="G25" i="61"/>
  <c r="G17" i="61"/>
  <c r="G27" i="61"/>
  <c r="G21" i="61"/>
  <c r="G15" i="61"/>
  <c r="G10" i="61"/>
  <c r="F5" i="67"/>
  <c r="F8" i="74"/>
  <c r="F22" i="68" l="1"/>
  <c r="F23" i="68" l="1"/>
  <c r="F24" i="68" s="1"/>
  <c r="G5" i="68" s="1"/>
  <c r="F30" i="68"/>
  <c r="F31" i="68" s="1"/>
  <c r="G22" i="68" l="1"/>
  <c r="G30" i="68" l="1"/>
  <c r="G31" i="68" s="1"/>
  <c r="G23" i="68"/>
  <c r="G24" i="68" s="1"/>
  <c r="H5" i="68" s="1"/>
  <c r="H22" i="68" l="1"/>
  <c r="H23" i="68" l="1"/>
  <c r="H24" i="68" s="1"/>
  <c r="I5" i="68" s="1"/>
  <c r="I22" i="68" s="1"/>
  <c r="H30" i="68"/>
  <c r="H31" i="68" s="1"/>
  <c r="I23" i="68" l="1"/>
  <c r="I24" i="68" s="1"/>
  <c r="J5" i="68" s="1"/>
  <c r="J22" i="68" s="1"/>
  <c r="I30" i="68"/>
  <c r="I31" i="68" s="1"/>
  <c r="J23" i="68" l="1"/>
  <c r="J24" i="68" s="1"/>
  <c r="K5" i="68" s="1"/>
  <c r="K22" i="68" s="1"/>
  <c r="J30" i="68"/>
  <c r="J31" i="68" s="1"/>
  <c r="K23" i="68" l="1"/>
  <c r="K24" i="68" s="1"/>
  <c r="L5" i="68" s="1"/>
  <c r="L22" i="68" s="1"/>
  <c r="K30" i="68"/>
  <c r="K31" i="68" s="1"/>
  <c r="L30" i="68" l="1"/>
  <c r="L31" i="68" s="1"/>
  <c r="L23" i="68"/>
  <c r="L24" i="68" l="1"/>
  <c r="M5" i="68" s="1"/>
  <c r="M22" i="68" s="1"/>
  <c r="M23" i="68" l="1"/>
  <c r="M30" i="68"/>
  <c r="M31" i="68" s="1"/>
  <c r="M24" i="68" l="1"/>
  <c r="N5" i="68" s="1"/>
  <c r="N22" i="68" s="1"/>
  <c r="N23" i="68" l="1"/>
  <c r="N30" i="68"/>
  <c r="N31" i="68" s="1"/>
  <c r="N24" i="68" l="1"/>
  <c r="O5" i="68" s="1"/>
  <c r="O22" i="68" s="1"/>
  <c r="O30" i="68" l="1"/>
  <c r="O31" i="68" s="1"/>
  <c r="O23" i="68"/>
  <c r="O24" i="68" l="1"/>
  <c r="P5" i="68" s="1"/>
  <c r="P22" i="68" s="1"/>
  <c r="P23" i="68" l="1"/>
  <c r="P30" i="68"/>
  <c r="P31" i="68" s="1"/>
  <c r="P24" i="68" l="1"/>
  <c r="Q5" i="68" s="1"/>
  <c r="Q22" i="68" s="1"/>
  <c r="Q23" i="68" l="1"/>
  <c r="Q24" i="68" s="1"/>
  <c r="R5" i="68" s="1"/>
  <c r="R22" i="68" s="1"/>
  <c r="Q30" i="68"/>
  <c r="Q31" i="68" s="1"/>
  <c r="R23" i="68" l="1"/>
  <c r="R24" i="68" s="1"/>
  <c r="S5" i="68" s="1"/>
  <c r="R30" i="68"/>
  <c r="R31" i="68" s="1"/>
  <c r="S22" i="68" l="1"/>
  <c r="D22" i="72" l="1"/>
  <c r="S23" i="68"/>
  <c r="S30" i="68"/>
  <c r="S31" i="68" s="1"/>
  <c r="C22" i="68"/>
  <c r="C30" i="68" l="1"/>
  <c r="C31" i="68" s="1"/>
  <c r="F27" i="67"/>
  <c r="F29" i="74"/>
  <c r="C23" i="68"/>
  <c r="Z31" i="68" s="1"/>
  <c r="S24" i="68"/>
  <c r="C5" i="72" s="1"/>
  <c r="D30" i="72"/>
  <c r="D31" i="72" s="1"/>
  <c r="D23" i="72"/>
  <c r="E22" i="72"/>
  <c r="F23" i="74" l="1"/>
  <c r="F21" i="67"/>
  <c r="C29" i="74"/>
  <c r="C34" i="74" s="1"/>
  <c r="D5" i="72"/>
  <c r="D24" i="72" s="1"/>
  <c r="E5" i="72" s="1"/>
  <c r="E30" i="72"/>
  <c r="E31" i="72" s="1"/>
  <c r="E23" i="72"/>
  <c r="F22" i="72"/>
  <c r="Z28" i="68"/>
  <c r="Z25" i="68"/>
  <c r="Z26" i="68"/>
  <c r="Z27" i="68"/>
  <c r="Z23" i="68"/>
  <c r="C24" i="68"/>
  <c r="Y33" i="68"/>
  <c r="Z29" i="68"/>
  <c r="Z30" i="68"/>
  <c r="Z24" i="68"/>
  <c r="F15" i="67" l="1"/>
  <c r="Z32" i="68"/>
  <c r="E24" i="72"/>
  <c r="F5" i="72" s="1"/>
  <c r="F23" i="72"/>
  <c r="G22" i="72"/>
  <c r="F30" i="72"/>
  <c r="F31" i="72" s="1"/>
  <c r="D29" i="74"/>
  <c r="D13" i="74"/>
  <c r="D15" i="74"/>
  <c r="D11" i="74"/>
  <c r="D27" i="74"/>
  <c r="D22" i="74"/>
  <c r="D26" i="74"/>
  <c r="D24" i="74"/>
  <c r="D17" i="74"/>
  <c r="D25" i="74"/>
  <c r="D6" i="74"/>
  <c r="D18" i="74"/>
  <c r="D12" i="74"/>
  <c r="D34" i="74"/>
  <c r="D8" i="74"/>
  <c r="D19" i="74"/>
  <c r="D14" i="74"/>
  <c r="D23" i="74"/>
  <c r="D9" i="74"/>
  <c r="D7" i="74"/>
  <c r="F17" i="74"/>
  <c r="H22" i="72" l="1"/>
  <c r="G23" i="72"/>
  <c r="G30" i="72"/>
  <c r="G31" i="72" s="1"/>
  <c r="F11" i="74"/>
  <c r="F24" i="72"/>
  <c r="G5" i="72" s="1"/>
  <c r="G24" i="72" s="1"/>
  <c r="H5" i="72" s="1"/>
  <c r="F10" i="67"/>
  <c r="F9" i="99" l="1"/>
  <c r="F9" i="74"/>
  <c r="F33" i="67"/>
  <c r="H24" i="72"/>
  <c r="I5" i="72" s="1"/>
  <c r="I22" i="72"/>
  <c r="H23" i="72"/>
  <c r="H30" i="72"/>
  <c r="H31" i="72" s="1"/>
  <c r="E18" i="100"/>
  <c r="F18" i="100" s="1"/>
  <c r="G18" i="100" s="1"/>
  <c r="H18" i="100" s="1"/>
  <c r="I18" i="100" s="1"/>
  <c r="J18" i="100" s="1"/>
  <c r="K18" i="100" s="1"/>
  <c r="L18" i="100" s="1"/>
  <c r="M18" i="100" s="1"/>
  <c r="N18" i="100" s="1"/>
  <c r="O18" i="100" s="1"/>
  <c r="P18" i="100" s="1"/>
  <c r="Q18" i="100" s="1"/>
  <c r="R18" i="100" s="1"/>
  <c r="S18" i="100" s="1"/>
  <c r="E13" i="100"/>
  <c r="F13" i="100"/>
  <c r="E15" i="100"/>
  <c r="F15" i="100" s="1"/>
  <c r="E4" i="100"/>
  <c r="F4" i="100" s="1"/>
  <c r="C21" i="100"/>
  <c r="F32" i="101" s="1"/>
  <c r="I23" i="72" l="1"/>
  <c r="J22" i="72"/>
  <c r="I30" i="72"/>
  <c r="I31" i="72" s="1"/>
  <c r="F6" i="74"/>
  <c r="F8" i="99"/>
  <c r="I24" i="72"/>
  <c r="J5" i="72" s="1"/>
  <c r="G30" i="67"/>
  <c r="G14" i="67"/>
  <c r="G23" i="67"/>
  <c r="G12" i="67"/>
  <c r="G22" i="67"/>
  <c r="G24" i="67"/>
  <c r="G7" i="67"/>
  <c r="G25" i="67"/>
  <c r="F35" i="67"/>
  <c r="G17" i="67"/>
  <c r="G13" i="67"/>
  <c r="G33" i="67"/>
  <c r="G26" i="67"/>
  <c r="G6" i="67"/>
  <c r="G8" i="67"/>
  <c r="G11" i="67"/>
  <c r="G19" i="67"/>
  <c r="G29" i="67"/>
  <c r="G18" i="67"/>
  <c r="G5" i="67"/>
  <c r="G27" i="67"/>
  <c r="G21" i="67"/>
  <c r="G15" i="67"/>
  <c r="G10" i="67"/>
  <c r="G4" i="100"/>
  <c r="E27" i="100"/>
  <c r="G15" i="100"/>
  <c r="H15" i="100" s="1"/>
  <c r="I15" i="100" s="1"/>
  <c r="J15" i="100" s="1"/>
  <c r="K15" i="100" s="1"/>
  <c r="L15" i="100" s="1"/>
  <c r="M15" i="100" s="1"/>
  <c r="N15" i="100" s="1"/>
  <c r="O15" i="100" s="1"/>
  <c r="P15" i="100" s="1"/>
  <c r="C18" i="100"/>
  <c r="E26" i="100"/>
  <c r="E23" i="100"/>
  <c r="F14" i="100"/>
  <c r="F26" i="100"/>
  <c r="F34" i="74" l="1"/>
  <c r="K22" i="72"/>
  <c r="J30" i="72"/>
  <c r="J31" i="72" s="1"/>
  <c r="J23" i="72"/>
  <c r="J24" i="72" s="1"/>
  <c r="K5" i="72" s="1"/>
  <c r="F8" i="101"/>
  <c r="F6" i="99"/>
  <c r="C15" i="100"/>
  <c r="F29" i="101" s="1"/>
  <c r="H4" i="100"/>
  <c r="E28" i="100"/>
  <c r="G26" i="100"/>
  <c r="H11" i="100"/>
  <c r="G13" i="100"/>
  <c r="F23" i="100"/>
  <c r="F27" i="100"/>
  <c r="F28" i="100" s="1"/>
  <c r="F31" i="101"/>
  <c r="K23" i="72" l="1"/>
  <c r="K24" i="72" s="1"/>
  <c r="L5" i="72" s="1"/>
  <c r="K30" i="72"/>
  <c r="K31" i="72" s="1"/>
  <c r="L22" i="72"/>
  <c r="G13" i="74"/>
  <c r="G32" i="74"/>
  <c r="G28" i="74"/>
  <c r="G24" i="74"/>
  <c r="G19" i="74"/>
  <c r="G7" i="74"/>
  <c r="G15" i="74"/>
  <c r="G27" i="74"/>
  <c r="G12" i="74"/>
  <c r="G8" i="74"/>
  <c r="G25" i="74"/>
  <c r="G34" i="74"/>
  <c r="G26" i="74"/>
  <c r="G31" i="74"/>
  <c r="G16" i="74"/>
  <c r="G21" i="74"/>
  <c r="G14" i="74"/>
  <c r="F35" i="74"/>
  <c r="G20" i="74"/>
  <c r="G29" i="74"/>
  <c r="G23" i="74"/>
  <c r="G17" i="74"/>
  <c r="G11" i="74"/>
  <c r="G9" i="74"/>
  <c r="G6" i="74"/>
  <c r="G23" i="100"/>
  <c r="G27" i="100"/>
  <c r="G28" i="100" s="1"/>
  <c r="H13" i="100"/>
  <c r="I11" i="100"/>
  <c r="H26" i="100"/>
  <c r="I4" i="100"/>
  <c r="L23" i="72" l="1"/>
  <c r="L24" i="72" s="1"/>
  <c r="M5" i="72" s="1"/>
  <c r="M22" i="72"/>
  <c r="L30" i="72"/>
  <c r="L31" i="72" s="1"/>
  <c r="I13" i="100"/>
  <c r="I26" i="100"/>
  <c r="J11" i="100"/>
  <c r="H27" i="100"/>
  <c r="H28" i="100" s="1"/>
  <c r="H23" i="100"/>
  <c r="J4" i="100"/>
  <c r="K4" i="100" s="1"/>
  <c r="M30" i="72" l="1"/>
  <c r="M31" i="72" s="1"/>
  <c r="M23" i="72"/>
  <c r="M24" i="72" s="1"/>
  <c r="N5" i="72" s="1"/>
  <c r="N22" i="72"/>
  <c r="I23" i="100"/>
  <c r="I27" i="100"/>
  <c r="I28" i="100" s="1"/>
  <c r="J26" i="100"/>
  <c r="K11" i="100"/>
  <c r="L4" i="100" s="1"/>
  <c r="J13" i="100"/>
  <c r="N23" i="72" l="1"/>
  <c r="N24" i="72" s="1"/>
  <c r="O5" i="72" s="1"/>
  <c r="O22" i="72"/>
  <c r="N30" i="72"/>
  <c r="N31" i="72" s="1"/>
  <c r="K26" i="100"/>
  <c r="L11" i="100"/>
  <c r="M4" i="100" s="1"/>
  <c r="K13" i="100"/>
  <c r="J23" i="100"/>
  <c r="J27" i="100"/>
  <c r="J28" i="100" s="1"/>
  <c r="O23" i="72" l="1"/>
  <c r="O24" i="72" s="1"/>
  <c r="P5" i="72" s="1"/>
  <c r="P22" i="72"/>
  <c r="O30" i="72"/>
  <c r="O31" i="72" s="1"/>
  <c r="K23" i="100"/>
  <c r="K27" i="100"/>
  <c r="K28" i="100" s="1"/>
  <c r="L13" i="100"/>
  <c r="L26" i="100"/>
  <c r="N4" i="100"/>
  <c r="P30" i="72" l="1"/>
  <c r="P31" i="72" s="1"/>
  <c r="Q22" i="72"/>
  <c r="P23" i="72"/>
  <c r="P24" i="72" s="1"/>
  <c r="Q5" i="72" s="1"/>
  <c r="M26" i="100"/>
  <c r="M13" i="100"/>
  <c r="O4" i="100"/>
  <c r="L23" i="100"/>
  <c r="L27" i="100"/>
  <c r="L28" i="100" s="1"/>
  <c r="Q23" i="72" l="1"/>
  <c r="Q24" i="72" s="1"/>
  <c r="R5" i="72" s="1"/>
  <c r="R22" i="72"/>
  <c r="Q30" i="72"/>
  <c r="Q31" i="72" s="1"/>
  <c r="M23" i="100"/>
  <c r="M27" i="100"/>
  <c r="M28" i="100" s="1"/>
  <c r="N26" i="100"/>
  <c r="N13" i="100"/>
  <c r="S22" i="72" l="1"/>
  <c r="R23" i="72"/>
  <c r="R24" i="72" s="1"/>
  <c r="S5" i="72" s="1"/>
  <c r="R30" i="72"/>
  <c r="R31" i="72" s="1"/>
  <c r="O26" i="100"/>
  <c r="O13" i="100"/>
  <c r="N27" i="100"/>
  <c r="N28" i="100" s="1"/>
  <c r="N23" i="100"/>
  <c r="P4" i="100"/>
  <c r="S23" i="72" l="1"/>
  <c r="C23" i="72" s="1"/>
  <c r="S30" i="72"/>
  <c r="S31" i="72" s="1"/>
  <c r="C22" i="72"/>
  <c r="Q4" i="100"/>
  <c r="O23" i="100"/>
  <c r="O27" i="100"/>
  <c r="O28" i="100" s="1"/>
  <c r="P26" i="100"/>
  <c r="P13" i="100"/>
  <c r="Z31" i="72" l="1"/>
  <c r="C30" i="72"/>
  <c r="C31" i="72" s="1"/>
  <c r="Y33" i="72"/>
  <c r="Z27" i="72"/>
  <c r="Z28" i="72"/>
  <c r="Z23" i="72"/>
  <c r="Z25" i="72"/>
  <c r="C24" i="72"/>
  <c r="Z26" i="72"/>
  <c r="Z30" i="72"/>
  <c r="Z24" i="72"/>
  <c r="Z29" i="72"/>
  <c r="S24" i="72"/>
  <c r="C5" i="98" s="1"/>
  <c r="R4" i="100"/>
  <c r="Q13" i="100"/>
  <c r="Q26" i="100"/>
  <c r="P23" i="100"/>
  <c r="Q14" i="100"/>
  <c r="P27" i="100"/>
  <c r="P28" i="100" s="1"/>
  <c r="Z32" i="72" l="1"/>
  <c r="D5" i="98"/>
  <c r="D24" i="98" s="1"/>
  <c r="E5" i="98" s="1"/>
  <c r="E24" i="98" s="1"/>
  <c r="F5" i="98" s="1"/>
  <c r="F24" i="98" s="1"/>
  <c r="G5" i="98" s="1"/>
  <c r="G24" i="98" s="1"/>
  <c r="H5" i="98" s="1"/>
  <c r="H24" i="98" s="1"/>
  <c r="I5" i="98" s="1"/>
  <c r="I24" i="98" s="1"/>
  <c r="J5" i="98" s="1"/>
  <c r="J24" i="98" s="1"/>
  <c r="K5" i="98" s="1"/>
  <c r="K24" i="98" s="1"/>
  <c r="L5" i="98" s="1"/>
  <c r="L24" i="98" s="1"/>
  <c r="M5" i="98" s="1"/>
  <c r="M24" i="98" s="1"/>
  <c r="N5" i="98" s="1"/>
  <c r="N24" i="98" s="1"/>
  <c r="O5" i="98" s="1"/>
  <c r="O24" i="98" s="1"/>
  <c r="P5" i="98" s="1"/>
  <c r="P24" i="98" s="1"/>
  <c r="Q5" i="98" s="1"/>
  <c r="Q24" i="98" s="1"/>
  <c r="R5" i="98" s="1"/>
  <c r="R24" i="98" s="1"/>
  <c r="S5" i="98" s="1"/>
  <c r="S24" i="98" s="1"/>
  <c r="C24" i="98"/>
  <c r="F17" i="99" s="1"/>
  <c r="F11" i="99" s="1"/>
  <c r="Q27" i="100"/>
  <c r="Q28" i="100" s="1"/>
  <c r="Q23" i="100"/>
  <c r="R26" i="100"/>
  <c r="R13" i="100"/>
  <c r="S4" i="100"/>
  <c r="S11" i="100" s="1"/>
  <c r="F9" i="101" l="1"/>
  <c r="F34" i="99"/>
  <c r="G11" i="99"/>
  <c r="C29" i="99"/>
  <c r="C5" i="100"/>
  <c r="D5" i="100" s="1"/>
  <c r="D24" i="100" s="1"/>
  <c r="E5" i="100" s="1"/>
  <c r="E24" i="100" s="1"/>
  <c r="F5" i="100" s="1"/>
  <c r="F24" i="100" s="1"/>
  <c r="G5" i="100" s="1"/>
  <c r="G24" i="100" s="1"/>
  <c r="H5" i="100" s="1"/>
  <c r="H24" i="100" s="1"/>
  <c r="I5" i="100" s="1"/>
  <c r="I24" i="100" s="1"/>
  <c r="J5" i="100" s="1"/>
  <c r="J24" i="100" s="1"/>
  <c r="K5" i="100" s="1"/>
  <c r="K24" i="100" s="1"/>
  <c r="L5" i="100" s="1"/>
  <c r="L24" i="100" s="1"/>
  <c r="M5" i="100" s="1"/>
  <c r="M24" i="100" s="1"/>
  <c r="N5" i="100" s="1"/>
  <c r="N24" i="100" s="1"/>
  <c r="O5" i="100" s="1"/>
  <c r="O24" i="100" s="1"/>
  <c r="P5" i="100" s="1"/>
  <c r="P24" i="100" s="1"/>
  <c r="Q5" i="100" s="1"/>
  <c r="Q24" i="100" s="1"/>
  <c r="R5" i="100" s="1"/>
  <c r="S13" i="100"/>
  <c r="C13" i="100" s="1"/>
  <c r="S26" i="100"/>
  <c r="C11" i="100"/>
  <c r="R27" i="100"/>
  <c r="R28" i="100" s="1"/>
  <c r="R23" i="100"/>
  <c r="C34" i="99" l="1"/>
  <c r="D29" i="99" s="1"/>
  <c r="G17" i="99"/>
  <c r="G34" i="99"/>
  <c r="G15" i="99"/>
  <c r="G9" i="99"/>
  <c r="G30" i="99"/>
  <c r="G7" i="99"/>
  <c r="G20" i="99"/>
  <c r="G27" i="99"/>
  <c r="F35" i="99"/>
  <c r="G19" i="99"/>
  <c r="G31" i="99"/>
  <c r="G25" i="99"/>
  <c r="G12" i="99"/>
  <c r="G23" i="99"/>
  <c r="G14" i="99"/>
  <c r="G33" i="99"/>
  <c r="G28" i="99"/>
  <c r="G24" i="99"/>
  <c r="G32" i="99"/>
  <c r="G13" i="99"/>
  <c r="G21" i="99"/>
  <c r="G16" i="99"/>
  <c r="G29" i="99"/>
  <c r="G8" i="99"/>
  <c r="G6" i="99"/>
  <c r="F8" i="104"/>
  <c r="F6" i="101"/>
  <c r="R24" i="100"/>
  <c r="S5" i="100" s="1"/>
  <c r="S27" i="100"/>
  <c r="S28" i="100" s="1"/>
  <c r="S23" i="100"/>
  <c r="C23" i="100" s="1"/>
  <c r="C24" i="100" s="1"/>
  <c r="C14" i="100"/>
  <c r="Y14" i="100"/>
  <c r="Z8" i="100"/>
  <c r="Z9" i="100"/>
  <c r="Z6" i="100"/>
  <c r="Z10" i="100"/>
  <c r="Z12" i="100"/>
  <c r="Z7" i="100"/>
  <c r="C26" i="100"/>
  <c r="Z11" i="100"/>
  <c r="C23" i="101"/>
  <c r="D23" i="99" l="1"/>
  <c r="D18" i="99"/>
  <c r="D11" i="99"/>
  <c r="D26" i="99"/>
  <c r="D19" i="99"/>
  <c r="D9" i="99"/>
  <c r="D8" i="99"/>
  <c r="D22" i="99"/>
  <c r="D6" i="99"/>
  <c r="D24" i="99"/>
  <c r="D25" i="99"/>
  <c r="D7" i="99"/>
  <c r="D13" i="99"/>
  <c r="D15" i="99"/>
  <c r="D12" i="99"/>
  <c r="D34" i="99"/>
  <c r="D14" i="99"/>
  <c r="D27" i="99"/>
  <c r="D17" i="99"/>
  <c r="Z13" i="100"/>
  <c r="S24" i="100"/>
  <c r="C22" i="101"/>
  <c r="Z29" i="100"/>
  <c r="Z31" i="100"/>
  <c r="Z25" i="100"/>
  <c r="Y33" i="100"/>
  <c r="Z26" i="100"/>
  <c r="Z28" i="100"/>
  <c r="Z30" i="100"/>
  <c r="Z27" i="100"/>
  <c r="Z24" i="100"/>
  <c r="C27" i="100"/>
  <c r="C28" i="100" s="1"/>
  <c r="F28" i="101"/>
  <c r="Z23" i="100"/>
  <c r="C29" i="101" l="1"/>
  <c r="C34" i="101" s="1"/>
  <c r="D22" i="101" s="1"/>
  <c r="C5" i="103"/>
  <c r="Z32" i="100"/>
  <c r="F27" i="101"/>
  <c r="F17" i="101" s="1"/>
  <c r="D5" i="103" l="1"/>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R5" i="103" s="1"/>
  <c r="R24" i="103" s="1"/>
  <c r="S5" i="103" s="1"/>
  <c r="S24" i="103" s="1"/>
  <c r="C24" i="103"/>
  <c r="F17" i="104" s="1"/>
  <c r="D27" i="101"/>
  <c r="D24" i="101"/>
  <c r="D19" i="101"/>
  <c r="D6" i="101"/>
  <c r="D14" i="101"/>
  <c r="D13" i="101"/>
  <c r="D7" i="101"/>
  <c r="D34" i="101"/>
  <c r="D12" i="101"/>
  <c r="D8" i="101"/>
  <c r="D15" i="101"/>
  <c r="D26" i="101"/>
  <c r="D25" i="101"/>
  <c r="D17" i="101"/>
  <c r="D11" i="101"/>
  <c r="D9" i="101"/>
  <c r="D18" i="101"/>
  <c r="D23" i="101"/>
  <c r="D29" i="101"/>
  <c r="C29" i="104" l="1"/>
  <c r="C34" i="104" s="1"/>
  <c r="C5" i="107"/>
  <c r="F11" i="104"/>
  <c r="F9" i="108" s="1"/>
  <c r="F11" i="101"/>
  <c r="F9" i="104" s="1"/>
  <c r="F8" i="108" s="1"/>
  <c r="F8" i="113" l="1"/>
  <c r="D5" i="107"/>
  <c r="D24" i="107" s="1"/>
  <c r="E5" i="107" s="1"/>
  <c r="E24" i="107" s="1"/>
  <c r="F5" i="107" s="1"/>
  <c r="F24" i="107" s="1"/>
  <c r="G5" i="107" s="1"/>
  <c r="G24" i="107" s="1"/>
  <c r="H5" i="107" s="1"/>
  <c r="H24" i="107" s="1"/>
  <c r="I5" i="107" s="1"/>
  <c r="I24" i="107" s="1"/>
  <c r="J5" i="107" s="1"/>
  <c r="J24" i="107" s="1"/>
  <c r="K5" i="107" s="1"/>
  <c r="K24" i="107" s="1"/>
  <c r="L5" i="107" s="1"/>
  <c r="L24" i="107" s="1"/>
  <c r="M5" i="107" s="1"/>
  <c r="M24" i="107" s="1"/>
  <c r="N5" i="107" s="1"/>
  <c r="N24" i="107" s="1"/>
  <c r="O5" i="107" s="1"/>
  <c r="O24" i="107" s="1"/>
  <c r="P5" i="107" s="1"/>
  <c r="P24" i="107" s="1"/>
  <c r="Q5" i="107" s="1"/>
  <c r="Q24" i="107" s="1"/>
  <c r="R5" i="107" s="1"/>
  <c r="R24" i="107" s="1"/>
  <c r="S5" i="107" s="1"/>
  <c r="S24" i="107" s="1"/>
  <c r="C5" i="112" s="1"/>
  <c r="C24" i="107"/>
  <c r="F17" i="108" s="1"/>
  <c r="F11" i="108" s="1"/>
  <c r="F9" i="113" s="1"/>
  <c r="F8" i="119" s="1"/>
  <c r="F6" i="108"/>
  <c r="D9" i="104"/>
  <c r="D17" i="104"/>
  <c r="D24" i="104"/>
  <c r="D18" i="104"/>
  <c r="D6" i="104"/>
  <c r="D15" i="104"/>
  <c r="D14" i="104"/>
  <c r="D26" i="104"/>
  <c r="D7" i="104"/>
  <c r="D23" i="104"/>
  <c r="D25" i="104"/>
  <c r="D34" i="104"/>
  <c r="D22" i="104"/>
  <c r="D8" i="104"/>
  <c r="D19" i="104"/>
  <c r="D12" i="104"/>
  <c r="D13" i="104"/>
  <c r="D27" i="104"/>
  <c r="D11" i="104"/>
  <c r="F6" i="104"/>
  <c r="D29" i="104"/>
  <c r="F34" i="101"/>
  <c r="G11" i="101" s="1"/>
  <c r="C29" i="108" l="1"/>
  <c r="C34" i="108" s="1"/>
  <c r="F6" i="113"/>
  <c r="F34" i="108"/>
  <c r="F34" i="104"/>
  <c r="G6" i="104" s="1"/>
  <c r="G30" i="101"/>
  <c r="G24" i="101"/>
  <c r="G9" i="101"/>
  <c r="G8" i="101"/>
  <c r="G34" i="101"/>
  <c r="G21" i="101"/>
  <c r="G20" i="101"/>
  <c r="G33" i="101"/>
  <c r="G14" i="101"/>
  <c r="G16" i="101"/>
  <c r="G13" i="101"/>
  <c r="G25" i="101"/>
  <c r="G23" i="101"/>
  <c r="G19" i="101"/>
  <c r="G12" i="101"/>
  <c r="G6" i="101"/>
  <c r="G7" i="101"/>
  <c r="G15" i="101"/>
  <c r="F35" i="101"/>
  <c r="G32" i="101"/>
  <c r="G31" i="101"/>
  <c r="G29" i="101"/>
  <c r="G28" i="101"/>
  <c r="G27" i="101"/>
  <c r="G17" i="101"/>
  <c r="D5" i="112" l="1"/>
  <c r="D24" i="112" s="1"/>
  <c r="E5" i="112" s="1"/>
  <c r="E24" i="112" s="1"/>
  <c r="F5" i="112" s="1"/>
  <c r="F24" i="112" s="1"/>
  <c r="G5" i="112" s="1"/>
  <c r="G24" i="112" s="1"/>
  <c r="H5" i="112" s="1"/>
  <c r="H24" i="112" s="1"/>
  <c r="C24" i="112"/>
  <c r="D22" i="108"/>
  <c r="D19" i="108"/>
  <c r="D11" i="108"/>
  <c r="D6" i="108"/>
  <c r="D8" i="108"/>
  <c r="D9" i="108"/>
  <c r="D23" i="108"/>
  <c r="D27" i="108"/>
  <c r="D25" i="108"/>
  <c r="D34" i="108"/>
  <c r="D14" i="108"/>
  <c r="D26" i="108"/>
  <c r="D13" i="108"/>
  <c r="D24" i="108"/>
  <c r="D17" i="108"/>
  <c r="D15" i="108"/>
  <c r="D7" i="108"/>
  <c r="D18" i="108"/>
  <c r="D12" i="108"/>
  <c r="D29" i="108"/>
  <c r="G11" i="108"/>
  <c r="G34" i="108"/>
  <c r="G13" i="108"/>
  <c r="G31" i="108"/>
  <c r="G21" i="108"/>
  <c r="G27" i="108"/>
  <c r="G9" i="108"/>
  <c r="G15" i="108"/>
  <c r="G32" i="108"/>
  <c r="G23" i="108"/>
  <c r="F35" i="108"/>
  <c r="G24" i="108"/>
  <c r="G33" i="108"/>
  <c r="G12" i="108"/>
  <c r="G17" i="108"/>
  <c r="G19" i="108"/>
  <c r="G25" i="108"/>
  <c r="G7" i="108"/>
  <c r="G29" i="108"/>
  <c r="G16" i="108"/>
  <c r="G28" i="108"/>
  <c r="G30" i="108"/>
  <c r="G20" i="108"/>
  <c r="G14" i="108"/>
  <c r="G8" i="108"/>
  <c r="G6" i="108"/>
  <c r="G33" i="104"/>
  <c r="G14" i="104"/>
  <c r="G16" i="104"/>
  <c r="G31" i="104"/>
  <c r="G32" i="104"/>
  <c r="F35" i="104"/>
  <c r="G30" i="104"/>
  <c r="G21" i="104"/>
  <c r="G23" i="104"/>
  <c r="G34" i="104"/>
  <c r="G28" i="104"/>
  <c r="G29" i="104"/>
  <c r="G8" i="104"/>
  <c r="G25" i="104"/>
  <c r="G20" i="104"/>
  <c r="G12" i="104"/>
  <c r="G15" i="104"/>
  <c r="G7" i="104"/>
  <c r="G13" i="104"/>
  <c r="G27" i="104"/>
  <c r="G24" i="104"/>
  <c r="G19" i="104"/>
  <c r="G17" i="104"/>
  <c r="G9" i="104"/>
  <c r="G11" i="104"/>
  <c r="F17" i="113" l="1"/>
  <c r="F11" i="113" s="1"/>
  <c r="I5" i="112"/>
  <c r="I24" i="112" s="1"/>
  <c r="J5" i="112" s="1"/>
  <c r="J24" i="112" s="1"/>
  <c r="K5" i="112" s="1"/>
  <c r="K24" i="112" s="1"/>
  <c r="L5" i="112" s="1"/>
  <c r="L24" i="112" s="1"/>
  <c r="M5" i="112" s="1"/>
  <c r="M24" i="112" s="1"/>
  <c r="N5" i="112" s="1"/>
  <c r="N24" i="112" s="1"/>
  <c r="O5" i="112" s="1"/>
  <c r="O24" i="112" s="1"/>
  <c r="P5" i="112" s="1"/>
  <c r="P24" i="112" s="1"/>
  <c r="Q5" i="112" s="1"/>
  <c r="Q24" i="112" s="1"/>
  <c r="R5" i="112" s="1"/>
  <c r="R24" i="112" s="1"/>
  <c r="S5" i="112" s="1"/>
  <c r="S24" i="112" s="1"/>
  <c r="F34" i="113" l="1"/>
  <c r="F9" i="119"/>
  <c r="F6" i="119" s="1"/>
  <c r="C29" i="113"/>
  <c r="C34" i="113" s="1"/>
  <c r="D22" i="113" s="1"/>
  <c r="C5" i="118"/>
  <c r="D17" i="113"/>
  <c r="D13" i="113"/>
  <c r="D14" i="113"/>
  <c r="D8" i="113"/>
  <c r="D29" i="113"/>
  <c r="G11" i="113"/>
  <c r="G20" i="113"/>
  <c r="G14" i="113"/>
  <c r="G23" i="113"/>
  <c r="G16" i="113"/>
  <c r="G25" i="113"/>
  <c r="G28" i="113"/>
  <c r="G21" i="113"/>
  <c r="G24" i="113"/>
  <c r="G8" i="113"/>
  <c r="G29" i="113"/>
  <c r="G27" i="113"/>
  <c r="G33" i="113"/>
  <c r="G12" i="113"/>
  <c r="G30" i="113"/>
  <c r="G34" i="113"/>
  <c r="G7" i="113"/>
  <c r="G31" i="113"/>
  <c r="G13" i="113"/>
  <c r="G32" i="113"/>
  <c r="G19" i="113"/>
  <c r="G15" i="113"/>
  <c r="G9" i="113"/>
  <c r="G6" i="113"/>
  <c r="G17" i="113"/>
  <c r="D15" i="113" l="1"/>
  <c r="D7" i="113"/>
  <c r="D11" i="113"/>
  <c r="D6" i="113"/>
  <c r="D27" i="113"/>
  <c r="D5" i="118"/>
  <c r="D24" i="118" s="1"/>
  <c r="E5" i="118" s="1"/>
  <c r="E24" i="118" s="1"/>
  <c r="F5" i="118" s="1"/>
  <c r="F24" i="118" s="1"/>
  <c r="G5" i="118" s="1"/>
  <c r="G24" i="118" s="1"/>
  <c r="H5" i="118" s="1"/>
  <c r="H24" i="118" s="1"/>
  <c r="I5" i="118" s="1"/>
  <c r="I24" i="118" s="1"/>
  <c r="J5" i="118" s="1"/>
  <c r="J24" i="118" s="1"/>
  <c r="K5" i="118" s="1"/>
  <c r="K24" i="118" s="1"/>
  <c r="L5" i="118" s="1"/>
  <c r="L24" i="118" s="1"/>
  <c r="M5" i="118" s="1"/>
  <c r="M24" i="118" s="1"/>
  <c r="N5" i="118" s="1"/>
  <c r="N24" i="118" s="1"/>
  <c r="O5" i="118" s="1"/>
  <c r="O24" i="118" s="1"/>
  <c r="P5" i="118" s="1"/>
  <c r="P24" i="118" s="1"/>
  <c r="Q5" i="118" s="1"/>
  <c r="Q24" i="118" s="1"/>
  <c r="R5" i="118" s="1"/>
  <c r="R24" i="118" s="1"/>
  <c r="S5" i="118" s="1"/>
  <c r="S24" i="118" s="1"/>
  <c r="C29" i="119" s="1"/>
  <c r="C34" i="119" s="1"/>
  <c r="C24" i="118"/>
  <c r="D18" i="113"/>
  <c r="D19" i="113"/>
  <c r="D23" i="113"/>
  <c r="D34" i="113"/>
  <c r="D24" i="113"/>
  <c r="F35" i="113"/>
  <c r="D25" i="113"/>
  <c r="D26" i="113"/>
  <c r="D9" i="113"/>
  <c r="D12" i="113"/>
  <c r="F17" i="119" l="1"/>
  <c r="F11" i="119" s="1"/>
  <c r="D14" i="119"/>
  <c r="D19" i="119"/>
  <c r="D34" i="119"/>
  <c r="D12" i="119"/>
  <c r="D11" i="119"/>
  <c r="D17" i="119"/>
  <c r="D9" i="119"/>
  <c r="D15" i="119"/>
  <c r="D13" i="119"/>
  <c r="D18" i="119"/>
  <c r="D27" i="119"/>
  <c r="D8" i="119"/>
  <c r="D26" i="119"/>
  <c r="D24" i="119"/>
  <c r="D7" i="119"/>
  <c r="D25" i="119"/>
  <c r="D6" i="119"/>
  <c r="D23" i="119"/>
  <c r="D22" i="119"/>
  <c r="D29" i="119"/>
  <c r="F34" i="119" l="1"/>
  <c r="G17" i="119" l="1"/>
  <c r="G20" i="119"/>
  <c r="G19" i="119"/>
  <c r="G34" i="119"/>
  <c r="G23" i="119"/>
  <c r="G28" i="119"/>
  <c r="G21" i="119"/>
  <c r="F35" i="119"/>
  <c r="G8" i="119"/>
  <c r="G9" i="119"/>
  <c r="G6" i="119"/>
  <c r="G25" i="119"/>
  <c r="G32" i="119"/>
  <c r="G13" i="119"/>
  <c r="G30" i="119"/>
  <c r="G7" i="119"/>
  <c r="G33" i="119"/>
  <c r="G15" i="119"/>
  <c r="G16" i="119"/>
  <c r="G24" i="119"/>
  <c r="G27" i="119"/>
  <c r="G12" i="119"/>
  <c r="G31" i="119"/>
  <c r="G29" i="119"/>
  <c r="G14" i="119"/>
  <c r="G11" i="119"/>
</calcChain>
</file>

<file path=xl/comments1.xml><?xml version="1.0" encoding="utf-8"?>
<comments xmlns="http://schemas.openxmlformats.org/spreadsheetml/2006/main">
  <authors>
    <author>Autor</author>
  </authors>
  <commentList>
    <comment ref="C1" authorId="0" shapeId="0">
      <text>
        <r>
          <rPr>
            <b/>
            <sz val="8"/>
            <color indexed="81"/>
            <rFont val="Tahoma"/>
            <family val="2"/>
          </rPr>
          <t>Sacado del manual no escrito, no se sabe que son estos valores</t>
        </r>
      </text>
    </comment>
    <comment ref="D1" authorId="0" shapeId="0">
      <text>
        <r>
          <rPr>
            <b/>
            <sz val="8"/>
            <color indexed="81"/>
            <rFont val="Tahoma"/>
            <family val="2"/>
          </rPr>
          <t>En partidos de Torneo con el predictor
-Campo neutral
-Espiritu: Ilusionats (6)
-Confiança: Alta (7)
Entrenador NEUTRO</t>
        </r>
      </text>
    </comment>
    <comment ref="B9" authorId="0" shapeId="0">
      <text>
        <r>
          <rPr>
            <sz val="8"/>
            <color indexed="81"/>
            <rFont val="Tahoma"/>
            <family val="2"/>
          </rPr>
          <t xml:space="preserve">
</t>
        </r>
        <r>
          <rPr>
            <b/>
            <sz val="8"/>
            <color indexed="81"/>
            <rFont val="Tahoma"/>
            <family val="2"/>
          </rPr>
          <t>En partidos de Torneo con el predicto</t>
        </r>
        <r>
          <rPr>
            <sz val="8"/>
            <color indexed="81"/>
            <rFont val="Tahoma"/>
            <family val="2"/>
          </rPr>
          <t>r
-Campo neutral
-Espiritu: Ilusionats (6)
-Confiança: Alta (7)
Entrenador NEUTRO</t>
        </r>
      </text>
    </comment>
    <comment ref="B24" authorId="0" shapeId="0">
      <text>
        <r>
          <rPr>
            <sz val="8"/>
            <color indexed="81"/>
            <rFont val="Tahoma"/>
            <family val="2"/>
          </rPr>
          <t xml:space="preserve">
</t>
        </r>
        <r>
          <rPr>
            <b/>
            <sz val="8"/>
            <color indexed="81"/>
            <rFont val="Tahoma"/>
            <family val="2"/>
          </rPr>
          <t>En partidos de Torneo con el predicto</t>
        </r>
        <r>
          <rPr>
            <sz val="8"/>
            <color indexed="81"/>
            <rFont val="Tahoma"/>
            <family val="2"/>
          </rPr>
          <t>r
-Campo neutral
-Espiritu: Ilusionats (6)
-Confiança: Alta (7)
Entrenador NEUTRO</t>
        </r>
      </text>
    </comment>
    <comment ref="B39" authorId="0" shapeId="0">
      <text>
        <r>
          <rPr>
            <sz val="8"/>
            <color indexed="81"/>
            <rFont val="Tahoma"/>
            <family val="2"/>
          </rPr>
          <t xml:space="preserve">
</t>
        </r>
        <r>
          <rPr>
            <b/>
            <sz val="8"/>
            <color indexed="81"/>
            <rFont val="Tahoma"/>
            <family val="2"/>
          </rPr>
          <t>En partidos de Torneo con el predicto</t>
        </r>
        <r>
          <rPr>
            <sz val="8"/>
            <color indexed="81"/>
            <rFont val="Tahoma"/>
            <family val="2"/>
          </rPr>
          <t>r
-Campo neutral
-Espiritu: Ilusionats (6)
-Confiança: Alta (7)
Entrenador NEUTRO</t>
        </r>
      </text>
    </comment>
    <comment ref="B59" authorId="0" shapeId="0">
      <text>
        <r>
          <rPr>
            <sz val="8"/>
            <color indexed="81"/>
            <rFont val="Tahoma"/>
            <family val="2"/>
          </rPr>
          <t xml:space="preserve">
</t>
        </r>
        <r>
          <rPr>
            <b/>
            <sz val="8"/>
            <color indexed="81"/>
            <rFont val="Tahoma"/>
            <family val="2"/>
          </rPr>
          <t>En partidos de Torneo con el predicto</t>
        </r>
        <r>
          <rPr>
            <sz val="8"/>
            <color indexed="81"/>
            <rFont val="Tahoma"/>
            <family val="2"/>
          </rPr>
          <t>r
-Campo neutral
-Espiritu: Ilusionats (6)
-Confiança: Alta (7)
Entrenador NEUTRO</t>
        </r>
      </text>
    </comment>
    <comment ref="B82" authorId="0" shapeId="0">
      <text>
        <r>
          <rPr>
            <sz val="8"/>
            <color indexed="81"/>
            <rFont val="Tahoma"/>
            <family val="2"/>
          </rPr>
          <t xml:space="preserve">
</t>
        </r>
        <r>
          <rPr>
            <b/>
            <sz val="8"/>
            <color indexed="81"/>
            <rFont val="Tahoma"/>
            <family val="2"/>
          </rPr>
          <t>En partidos de Torneo con el predicto</t>
        </r>
        <r>
          <rPr>
            <sz val="8"/>
            <color indexed="81"/>
            <rFont val="Tahoma"/>
            <family val="2"/>
          </rPr>
          <t>r
-Campo neutral
-Espiritu: Ilusionats (6)
-Confiança: Alta (7)
Entrenador NEUTRO</t>
        </r>
      </text>
    </comment>
  </commentList>
</comments>
</file>

<file path=xl/comments10.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F6" authorId="0" shapeId="0">
      <text>
        <r>
          <rPr>
            <b/>
            <sz val="8"/>
            <color indexed="81"/>
            <rFont val="Tahoma"/>
            <family val="2"/>
          </rPr>
          <t>Autor:</t>
        </r>
        <r>
          <rPr>
            <sz val="8"/>
            <color indexed="81"/>
            <rFont val="Tahoma"/>
            <family val="2"/>
          </rPr>
          <t xml:space="preserve">
CopaR1</t>
        </r>
      </text>
    </comment>
    <comment ref="H6" authorId="0" shapeId="0">
      <text>
        <r>
          <rPr>
            <b/>
            <sz val="8"/>
            <color indexed="81"/>
            <rFont val="Tahoma"/>
            <family val="2"/>
          </rPr>
          <t>Autor:</t>
        </r>
        <r>
          <rPr>
            <sz val="8"/>
            <color indexed="81"/>
            <rFont val="Tahoma"/>
            <family val="2"/>
          </rPr>
          <t xml:space="preserve">
CopaR1</t>
        </r>
      </text>
    </comment>
    <comment ref="L6" authorId="0" shapeId="0">
      <text>
        <r>
          <rPr>
            <b/>
            <sz val="8"/>
            <color indexed="81"/>
            <rFont val="Tahoma"/>
            <family val="2"/>
          </rPr>
          <t>Autor:</t>
        </r>
        <r>
          <rPr>
            <sz val="8"/>
            <color indexed="81"/>
            <rFont val="Tahoma"/>
            <family val="2"/>
          </rPr>
          <t xml:space="preserve">
CopaR1</t>
        </r>
      </text>
    </comment>
    <comment ref="N6" authorId="0" shapeId="0">
      <text>
        <r>
          <rPr>
            <b/>
            <sz val="8"/>
            <color indexed="81"/>
            <rFont val="Tahoma"/>
            <family val="2"/>
          </rPr>
          <t>Autor:</t>
        </r>
        <r>
          <rPr>
            <sz val="8"/>
            <color indexed="81"/>
            <rFont val="Tahoma"/>
            <family val="2"/>
          </rPr>
          <t xml:space="preserve">
CopaR1</t>
        </r>
      </text>
    </comment>
    <comment ref="O6" authorId="0" shapeId="0">
      <text>
        <r>
          <rPr>
            <b/>
            <sz val="8"/>
            <color indexed="81"/>
            <rFont val="Tahoma"/>
            <family val="2"/>
          </rPr>
          <t>Autor:</t>
        </r>
        <r>
          <rPr>
            <sz val="8"/>
            <color indexed="81"/>
            <rFont val="Tahoma"/>
            <family val="2"/>
          </rPr>
          <t xml:space="preserve">
CopaR1</t>
        </r>
      </text>
    </comment>
    <comment ref="P6" authorId="0" shapeId="0">
      <text>
        <r>
          <rPr>
            <b/>
            <sz val="8"/>
            <color indexed="81"/>
            <rFont val="Tahoma"/>
            <family val="2"/>
          </rPr>
          <t>Autor:</t>
        </r>
        <r>
          <rPr>
            <sz val="8"/>
            <color indexed="81"/>
            <rFont val="Tahoma"/>
            <family val="2"/>
          </rPr>
          <t xml:space="preserve">
CopaR1</t>
        </r>
      </text>
    </comment>
    <comment ref="Q6" authorId="0" shapeId="0">
      <text>
        <r>
          <rPr>
            <b/>
            <sz val="8"/>
            <color indexed="81"/>
            <rFont val="Tahoma"/>
            <family val="2"/>
          </rPr>
          <t>Autor:</t>
        </r>
        <r>
          <rPr>
            <sz val="8"/>
            <color indexed="81"/>
            <rFont val="Tahoma"/>
            <family val="2"/>
          </rPr>
          <t xml:space="preserve">
CopaR1</t>
        </r>
      </text>
    </comment>
  </commentList>
</comments>
</file>

<file path=xl/comments15.xml><?xml version="1.0" encoding="utf-8"?>
<comments xmlns="http://schemas.openxmlformats.org/spreadsheetml/2006/main">
  <authors>
    <author>Autor</author>
  </authors>
  <commentList>
    <comment ref="Q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F6" authorId="0" shapeId="0">
      <text>
        <r>
          <rPr>
            <b/>
            <sz val="8"/>
            <color indexed="81"/>
            <rFont val="Tahoma"/>
            <family val="2"/>
          </rPr>
          <t>Autor:</t>
        </r>
        <r>
          <rPr>
            <sz val="8"/>
            <color indexed="81"/>
            <rFont val="Tahoma"/>
            <family val="2"/>
          </rPr>
          <t xml:space="preserve">
CopaR1</t>
        </r>
      </text>
    </comment>
    <comment ref="H6" authorId="0" shapeId="0">
      <text>
        <r>
          <rPr>
            <b/>
            <sz val="8"/>
            <color indexed="81"/>
            <rFont val="Tahoma"/>
            <family val="2"/>
          </rPr>
          <t>Autor:</t>
        </r>
        <r>
          <rPr>
            <sz val="8"/>
            <color indexed="81"/>
            <rFont val="Tahoma"/>
            <family val="2"/>
          </rPr>
          <t xml:space="preserve">
CopaR1</t>
        </r>
      </text>
    </comment>
    <comment ref="L6" authorId="0" shapeId="0">
      <text>
        <r>
          <rPr>
            <b/>
            <sz val="8"/>
            <color indexed="81"/>
            <rFont val="Tahoma"/>
            <family val="2"/>
          </rPr>
          <t>Autor:</t>
        </r>
        <r>
          <rPr>
            <sz val="8"/>
            <color indexed="81"/>
            <rFont val="Tahoma"/>
            <family val="2"/>
          </rPr>
          <t xml:space="preserve">
CopaR1</t>
        </r>
      </text>
    </comment>
    <comment ref="O6" authorId="0" shapeId="0">
      <text>
        <r>
          <rPr>
            <b/>
            <sz val="8"/>
            <color indexed="81"/>
            <rFont val="Tahoma"/>
            <family val="2"/>
          </rPr>
          <t>Autor:</t>
        </r>
        <r>
          <rPr>
            <sz val="8"/>
            <color indexed="81"/>
            <rFont val="Tahoma"/>
            <family val="2"/>
          </rPr>
          <t xml:space="preserve">
CopaR1</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F6" authorId="0" shapeId="0">
      <text>
        <r>
          <rPr>
            <b/>
            <sz val="8"/>
            <color indexed="81"/>
            <rFont val="Tahoma"/>
            <family val="2"/>
          </rPr>
          <t>Autor:</t>
        </r>
        <r>
          <rPr>
            <sz val="8"/>
            <color indexed="81"/>
            <rFont val="Tahoma"/>
            <family val="2"/>
          </rPr>
          <t xml:space="preserve">
CopaR1</t>
        </r>
      </text>
    </comment>
    <comment ref="H6" authorId="0" shapeId="0">
      <text>
        <r>
          <rPr>
            <b/>
            <sz val="8"/>
            <color indexed="81"/>
            <rFont val="Tahoma"/>
            <family val="2"/>
          </rPr>
          <t>Autor:</t>
        </r>
        <r>
          <rPr>
            <sz val="8"/>
            <color indexed="81"/>
            <rFont val="Tahoma"/>
            <family val="2"/>
          </rPr>
          <t xml:space="preserve">
CopaR1</t>
        </r>
      </text>
    </comment>
    <comment ref="O6" authorId="0" shapeId="0">
      <text>
        <r>
          <rPr>
            <b/>
            <sz val="8"/>
            <color indexed="81"/>
            <rFont val="Tahoma"/>
            <family val="2"/>
          </rPr>
          <t>Autor:</t>
        </r>
        <r>
          <rPr>
            <sz val="8"/>
            <color indexed="81"/>
            <rFont val="Tahoma"/>
            <family val="2"/>
          </rPr>
          <t xml:space="preserve">
CopaR1</t>
        </r>
      </text>
    </comment>
  </commentList>
</comments>
</file>

<file path=xl/comments1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2.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amistoso POTEITOR</t>
        </r>
      </text>
    </comment>
    <comment ref="E8" authorId="0" shapeId="0">
      <text>
        <r>
          <rPr>
            <b/>
            <sz val="8"/>
            <color indexed="81"/>
            <rFont val="Tahoma"/>
            <family val="2"/>
          </rPr>
          <t>Autor:</t>
        </r>
        <r>
          <rPr>
            <sz val="8"/>
            <color indexed="81"/>
            <rFont val="Tahoma"/>
            <family val="2"/>
          </rPr>
          <t xml:space="preserve">
Rubianes+Sava+Mercadeo1</t>
        </r>
      </text>
    </comment>
    <comment ref="E9" authorId="0" shapeId="0">
      <text>
        <r>
          <rPr>
            <b/>
            <sz val="8"/>
            <color indexed="81"/>
            <rFont val="Tahoma"/>
            <family val="2"/>
          </rPr>
          <t>Autor:</t>
        </r>
        <r>
          <rPr>
            <sz val="8"/>
            <color indexed="81"/>
            <rFont val="Tahoma"/>
            <family val="2"/>
          </rPr>
          <t xml:space="preserve">
R.Chua</t>
        </r>
      </text>
    </comment>
    <comment ref="H10" authorId="0" shapeId="0">
      <text>
        <r>
          <rPr>
            <b/>
            <sz val="8"/>
            <color indexed="81"/>
            <rFont val="Tahoma"/>
            <family val="2"/>
          </rPr>
          <t>Autor:</t>
        </r>
        <r>
          <rPr>
            <sz val="8"/>
            <color indexed="81"/>
            <rFont val="Tahoma"/>
            <family val="2"/>
          </rPr>
          <t xml:space="preserve">
club origen de RUBIANES</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20.xml><?xml version="1.0" encoding="utf-8"?>
<comments xmlns="http://schemas.openxmlformats.org/spreadsheetml/2006/main">
  <authors>
    <author>Autor</author>
  </authors>
  <commentList>
    <comment ref="L6" authorId="0" shapeId="0">
      <text>
        <r>
          <rPr>
            <b/>
            <sz val="8"/>
            <color indexed="81"/>
            <rFont val="Tahoma"/>
            <family val="2"/>
          </rPr>
          <t>Autor:</t>
        </r>
        <r>
          <rPr>
            <sz val="8"/>
            <color indexed="81"/>
            <rFont val="Tahoma"/>
            <family val="2"/>
          </rPr>
          <t xml:space="preserve">
CopaZafiro R6</t>
        </r>
      </text>
    </comment>
    <comment ref="N6" authorId="0" shapeId="0">
      <text>
        <r>
          <rPr>
            <b/>
            <sz val="8"/>
            <color indexed="81"/>
            <rFont val="Tahoma"/>
            <family val="2"/>
          </rPr>
          <t>Autor:</t>
        </r>
        <r>
          <rPr>
            <sz val="8"/>
            <color indexed="81"/>
            <rFont val="Tahoma"/>
            <family val="2"/>
          </rPr>
          <t xml:space="preserve">
CopaR1</t>
        </r>
      </text>
    </comment>
    <comment ref="P6" authorId="0" shapeId="0">
      <text>
        <r>
          <rPr>
            <b/>
            <sz val="8"/>
            <color indexed="81"/>
            <rFont val="Tahoma"/>
            <family val="2"/>
          </rPr>
          <t>Autor:</t>
        </r>
        <r>
          <rPr>
            <sz val="8"/>
            <color indexed="81"/>
            <rFont val="Tahoma"/>
            <family val="2"/>
          </rPr>
          <t xml:space="preserve">
CopaR1</t>
        </r>
      </text>
    </comment>
    <comment ref="R6" authorId="0" shapeId="0">
      <text>
        <r>
          <rPr>
            <b/>
            <sz val="8"/>
            <color indexed="81"/>
            <rFont val="Tahoma"/>
            <family val="2"/>
          </rPr>
          <t>Autor:</t>
        </r>
        <r>
          <rPr>
            <sz val="8"/>
            <color indexed="81"/>
            <rFont val="Tahoma"/>
            <family val="2"/>
          </rPr>
          <t xml:space="preserve">
CopaR1</t>
        </r>
      </text>
    </comment>
  </commentList>
</comments>
</file>

<file path=xl/comments2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22.xml><?xml version="1.0" encoding="utf-8"?>
<comments xmlns="http://schemas.openxmlformats.org/spreadsheetml/2006/main">
  <authors>
    <author>Autor</author>
  </authors>
  <commentList>
    <comment ref="L6" authorId="0" shapeId="0">
      <text>
        <r>
          <rPr>
            <b/>
            <sz val="8"/>
            <color indexed="81"/>
            <rFont val="Tahoma"/>
            <family val="2"/>
          </rPr>
          <t>Autor:</t>
        </r>
        <r>
          <rPr>
            <sz val="8"/>
            <color indexed="81"/>
            <rFont val="Tahoma"/>
            <family val="2"/>
          </rPr>
          <t xml:space="preserve">
CopaZafiro R6</t>
        </r>
      </text>
    </comment>
    <comment ref="N6" authorId="0" shapeId="0">
      <text>
        <r>
          <rPr>
            <b/>
            <sz val="8"/>
            <color indexed="81"/>
            <rFont val="Tahoma"/>
            <family val="2"/>
          </rPr>
          <t>Autor:</t>
        </r>
        <r>
          <rPr>
            <sz val="8"/>
            <color indexed="81"/>
            <rFont val="Tahoma"/>
            <family val="2"/>
          </rPr>
          <t xml:space="preserve">
CopaZafiro R6</t>
        </r>
      </text>
    </comment>
    <comment ref="P6" authorId="0" shapeId="0">
      <text>
        <r>
          <rPr>
            <b/>
            <sz val="8"/>
            <color indexed="81"/>
            <rFont val="Tahoma"/>
            <family val="2"/>
          </rPr>
          <t>Autor:</t>
        </r>
        <r>
          <rPr>
            <sz val="8"/>
            <color indexed="81"/>
            <rFont val="Tahoma"/>
            <family val="2"/>
          </rPr>
          <t xml:space="preserve">
CopaZafiro R6</t>
        </r>
      </text>
    </comment>
    <comment ref="R6" authorId="0" shapeId="0">
      <text>
        <r>
          <rPr>
            <b/>
            <sz val="8"/>
            <color indexed="81"/>
            <rFont val="Tahoma"/>
            <family val="2"/>
          </rPr>
          <t>Autor:</t>
        </r>
        <r>
          <rPr>
            <sz val="8"/>
            <color indexed="81"/>
            <rFont val="Tahoma"/>
            <family val="2"/>
          </rPr>
          <t xml:space="preserve">
CopaR1</t>
        </r>
      </text>
    </comment>
  </commentList>
</comments>
</file>

<file path=xl/comments2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24.xml><?xml version="1.0" encoding="utf-8"?>
<comments xmlns="http://schemas.openxmlformats.org/spreadsheetml/2006/main">
  <authors>
    <author>Autor</author>
  </authors>
  <commentList>
    <comment ref="R6" authorId="0" shapeId="0">
      <text>
        <r>
          <rPr>
            <b/>
            <sz val="8"/>
            <color indexed="81"/>
            <rFont val="Tahoma"/>
            <family val="2"/>
          </rPr>
          <t>Autor:</t>
        </r>
        <r>
          <rPr>
            <sz val="8"/>
            <color indexed="81"/>
            <rFont val="Tahoma"/>
            <family val="2"/>
          </rPr>
          <t xml:space="preserve">
CopaR1</t>
        </r>
      </text>
    </comment>
  </commentList>
</comments>
</file>

<file path=xl/comments2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26.xml><?xml version="1.0" encoding="utf-8"?>
<comments xmlns="http://schemas.openxmlformats.org/spreadsheetml/2006/main">
  <authors>
    <author>Autor</author>
  </authors>
  <commentList>
    <comment ref="R6" authorId="0" shapeId="0">
      <text>
        <r>
          <rPr>
            <b/>
            <sz val="8"/>
            <color indexed="81"/>
            <rFont val="Tahoma"/>
            <family val="2"/>
          </rPr>
          <t>Autor:</t>
        </r>
        <r>
          <rPr>
            <sz val="8"/>
            <color indexed="81"/>
            <rFont val="Tahoma"/>
            <family val="2"/>
          </rPr>
          <t xml:space="preserve">
CopaR1</t>
        </r>
      </text>
    </comment>
  </commentList>
</comments>
</file>

<file path=xl/comments2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28.xml><?xml version="1.0" encoding="utf-8"?>
<comments xmlns="http://schemas.openxmlformats.org/spreadsheetml/2006/main">
  <authors>
    <author>Autor</author>
  </authors>
  <commentList>
    <comment ref="R6" authorId="0" shapeId="0">
      <text>
        <r>
          <rPr>
            <b/>
            <sz val="8"/>
            <color indexed="81"/>
            <rFont val="Tahoma"/>
            <family val="2"/>
          </rPr>
          <t>Autor:</t>
        </r>
        <r>
          <rPr>
            <sz val="8"/>
            <color indexed="81"/>
            <rFont val="Tahoma"/>
            <family val="2"/>
          </rPr>
          <t xml:space="preserve">
CopaR1</t>
        </r>
      </text>
    </comment>
  </commentList>
</comments>
</file>

<file path=xl/comments2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3.xml><?xml version="1.0" encoding="utf-8"?>
<comments xmlns="http://schemas.openxmlformats.org/spreadsheetml/2006/main">
  <authors>
    <author>Autor</author>
  </authors>
  <commentList>
    <comment ref="E16" authorId="0" shapeId="0">
      <text>
        <r>
          <rPr>
            <b/>
            <sz val="8"/>
            <color indexed="81"/>
            <rFont val="Tahoma"/>
            <family val="2"/>
          </rPr>
          <t>Autor:</t>
        </r>
        <r>
          <rPr>
            <sz val="8"/>
            <color indexed="81"/>
            <rFont val="Tahoma"/>
            <family val="2"/>
          </rPr>
          <t xml:space="preserve">
Ingresos anuales - Pagos anuales + Caja</t>
        </r>
      </text>
    </comment>
    <comment ref="C17" authorId="0" shapeId="0">
      <text>
        <r>
          <rPr>
            <b/>
            <sz val="8"/>
            <color indexed="81"/>
            <rFont val="Tahoma"/>
            <family val="2"/>
          </rPr>
          <t>Autor:</t>
        </r>
        <r>
          <rPr>
            <sz val="8"/>
            <color indexed="81"/>
            <rFont val="Tahoma"/>
            <family val="2"/>
          </rPr>
          <t xml:space="preserve">
precio total venta, comisiones va a ByP
</t>
        </r>
      </text>
    </comment>
    <comment ref="F19" authorId="0" shapeId="0">
      <text>
        <r>
          <rPr>
            <b/>
            <sz val="8"/>
            <color indexed="81"/>
            <rFont val="Tahoma"/>
            <family val="2"/>
          </rPr>
          <t>Autor:</t>
        </r>
        <r>
          <rPr>
            <sz val="8"/>
            <color indexed="81"/>
            <rFont val="Tahoma"/>
            <family val="2"/>
          </rPr>
          <t xml:space="preserve">
incluye sueldo primera semana</t>
        </r>
      </text>
    </comment>
  </commentList>
</comments>
</file>

<file path=xl/comments30.xml><?xml version="1.0" encoding="utf-8"?>
<comments xmlns="http://schemas.openxmlformats.org/spreadsheetml/2006/main">
  <authors>
    <author>Autor</author>
  </authors>
  <commentList>
    <comment ref="R6" authorId="0" shapeId="0">
      <text>
        <r>
          <rPr>
            <b/>
            <sz val="8"/>
            <color indexed="81"/>
            <rFont val="Tahoma"/>
            <family val="2"/>
          </rPr>
          <t>Autor:</t>
        </r>
        <r>
          <rPr>
            <sz val="8"/>
            <color indexed="81"/>
            <rFont val="Tahoma"/>
            <family val="2"/>
          </rPr>
          <t xml:space="preserve">
CopaR1</t>
        </r>
      </text>
    </comment>
  </commentList>
</comments>
</file>

<file path=xl/comments3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32.xml><?xml version="1.0" encoding="utf-8"?>
<comments xmlns="http://schemas.openxmlformats.org/spreadsheetml/2006/main">
  <authors>
    <author>Autor</author>
  </authors>
  <commentList>
    <comment ref="R6" authorId="0" shapeId="0">
      <text>
        <r>
          <rPr>
            <b/>
            <sz val="8"/>
            <color indexed="81"/>
            <rFont val="Tahoma"/>
            <family val="2"/>
          </rPr>
          <t>Autor:</t>
        </r>
        <r>
          <rPr>
            <sz val="8"/>
            <color indexed="81"/>
            <rFont val="Tahoma"/>
            <family val="2"/>
          </rPr>
          <t xml:space="preserve">
CopaR1</t>
        </r>
      </text>
    </comment>
  </commentList>
</comments>
</file>

<file path=xl/comments3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34.xml><?xml version="1.0" encoding="utf-8"?>
<comments xmlns="http://schemas.openxmlformats.org/spreadsheetml/2006/main">
  <authors>
    <author>Autor</author>
  </authors>
  <commentList>
    <comment ref="R10" authorId="0" shapeId="0">
      <text>
        <r>
          <rPr>
            <b/>
            <sz val="8"/>
            <color indexed="81"/>
            <rFont val="Tahoma"/>
            <family val="2"/>
          </rPr>
          <t>Autor:</t>
        </r>
        <r>
          <rPr>
            <sz val="8"/>
            <color indexed="81"/>
            <rFont val="Tahoma"/>
            <family val="2"/>
          </rPr>
          <t xml:space="preserve">
Compra+Primer sueldo</t>
        </r>
      </text>
    </comment>
    <comment ref="R16" authorId="0" shapeId="0">
      <text>
        <r>
          <rPr>
            <b/>
            <sz val="8"/>
            <color indexed="81"/>
            <rFont val="Tahoma"/>
            <family val="2"/>
          </rPr>
          <t>Autor:</t>
        </r>
        <r>
          <rPr>
            <sz val="8"/>
            <color indexed="81"/>
            <rFont val="Tahoma"/>
            <family val="2"/>
          </rPr>
          <t xml:space="preserve">
Compra+Primer sueldo</t>
        </r>
      </text>
    </comment>
    <comment ref="R25" authorId="0" shapeId="0">
      <text>
        <r>
          <rPr>
            <b/>
            <sz val="8"/>
            <color indexed="81"/>
            <rFont val="Tahoma"/>
            <family val="2"/>
          </rPr>
          <t>Autor:</t>
        </r>
        <r>
          <rPr>
            <sz val="8"/>
            <color indexed="81"/>
            <rFont val="Tahoma"/>
            <family val="2"/>
          </rPr>
          <t xml:space="preserve">
Compra+Primer sueldo</t>
        </r>
      </text>
    </comment>
    <comment ref="R36" authorId="0" shapeId="0">
      <text>
        <r>
          <rPr>
            <b/>
            <sz val="8"/>
            <color indexed="81"/>
            <rFont val="Tahoma"/>
            <family val="2"/>
          </rPr>
          <t>Autor:</t>
        </r>
        <r>
          <rPr>
            <sz val="8"/>
            <color indexed="81"/>
            <rFont val="Tahoma"/>
            <family val="2"/>
          </rPr>
          <t xml:space="preserve">
Compra+Primer sueldo</t>
        </r>
      </text>
    </comment>
    <comment ref="R45" authorId="0" shapeId="0">
      <text>
        <r>
          <rPr>
            <b/>
            <sz val="8"/>
            <color indexed="81"/>
            <rFont val="Tahoma"/>
            <family val="2"/>
          </rPr>
          <t>Autor:</t>
        </r>
        <r>
          <rPr>
            <sz val="8"/>
            <color indexed="81"/>
            <rFont val="Tahoma"/>
            <family val="2"/>
          </rPr>
          <t xml:space="preserve">
Compra+Primer sueldo</t>
        </r>
      </text>
    </comment>
    <comment ref="S52" authorId="0" shapeId="0">
      <text>
        <r>
          <rPr>
            <b/>
            <sz val="8"/>
            <color indexed="81"/>
            <rFont val="Tahoma"/>
            <family val="2"/>
          </rPr>
          <t>Autor:</t>
        </r>
        <r>
          <rPr>
            <sz val="8"/>
            <color indexed="81"/>
            <rFont val="Tahoma"/>
            <family val="2"/>
          </rPr>
          <t xml:space="preserve">
Compra+Primer sueldo</t>
        </r>
      </text>
    </comment>
    <comment ref="S57" authorId="0" shapeId="0">
      <text>
        <r>
          <rPr>
            <b/>
            <sz val="8"/>
            <color indexed="81"/>
            <rFont val="Tahoma"/>
            <family val="2"/>
          </rPr>
          <t>Autor:</t>
        </r>
        <r>
          <rPr>
            <sz val="8"/>
            <color indexed="81"/>
            <rFont val="Tahoma"/>
            <family val="2"/>
          </rPr>
          <t xml:space="preserve">
Compra+Primer sueldo</t>
        </r>
      </text>
    </comment>
  </commentList>
</comments>
</file>

<file path=xl/comments4.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amistoso POTEITOR</t>
        </r>
      </text>
    </comment>
    <comment ref="E6" authorId="0" shapeId="0">
      <text>
        <r>
          <rPr>
            <b/>
            <sz val="8"/>
            <color indexed="81"/>
            <rFont val="Tahoma"/>
            <family val="2"/>
          </rPr>
          <t>Autor:</t>
        </r>
        <r>
          <rPr>
            <sz val="8"/>
            <color indexed="81"/>
            <rFont val="Tahoma"/>
            <family val="2"/>
          </rPr>
          <t xml:space="preserve">
amistoso POTEITOR</t>
        </r>
      </text>
    </comment>
    <comment ref="G6" authorId="0" shapeId="0">
      <text>
        <r>
          <rPr>
            <b/>
            <sz val="8"/>
            <color indexed="81"/>
            <rFont val="Tahoma"/>
            <family val="2"/>
          </rPr>
          <t>Autor:</t>
        </r>
        <r>
          <rPr>
            <sz val="8"/>
            <color indexed="81"/>
            <rFont val="Tahoma"/>
            <family val="2"/>
          </rPr>
          <t xml:space="preserve">
amistoso POTEITOR</t>
        </r>
      </text>
    </comment>
    <comment ref="J6" authorId="0" shapeId="0">
      <text>
        <r>
          <rPr>
            <b/>
            <sz val="8"/>
            <color indexed="81"/>
            <rFont val="Tahoma"/>
            <family val="2"/>
          </rPr>
          <t>Autor:</t>
        </r>
        <r>
          <rPr>
            <sz val="8"/>
            <color indexed="81"/>
            <rFont val="Tahoma"/>
            <family val="2"/>
          </rPr>
          <t xml:space="preserve">
amistoso POTEITOR</t>
        </r>
      </text>
    </comment>
    <comment ref="L6" authorId="0" shapeId="0">
      <text>
        <r>
          <rPr>
            <b/>
            <sz val="8"/>
            <color indexed="81"/>
            <rFont val="Tahoma"/>
            <family val="2"/>
          </rPr>
          <t>Autor:</t>
        </r>
        <r>
          <rPr>
            <sz val="8"/>
            <color indexed="81"/>
            <rFont val="Tahoma"/>
            <family val="2"/>
          </rPr>
          <t xml:space="preserve">
amistoso POTEITOR</t>
        </r>
      </text>
    </comment>
    <comment ref="N6" authorId="0" shapeId="0">
      <text>
        <r>
          <rPr>
            <b/>
            <sz val="8"/>
            <color indexed="81"/>
            <rFont val="Tahoma"/>
            <family val="2"/>
          </rPr>
          <t>Autor:</t>
        </r>
        <r>
          <rPr>
            <sz val="8"/>
            <color indexed="81"/>
            <rFont val="Tahoma"/>
            <family val="2"/>
          </rPr>
          <t xml:space="preserve">
amistoso POTEITOR</t>
        </r>
      </text>
    </comment>
    <comment ref="Q6" authorId="0" shapeId="0">
      <text>
        <r>
          <rPr>
            <b/>
            <sz val="8"/>
            <color indexed="81"/>
            <rFont val="Tahoma"/>
            <family val="2"/>
          </rPr>
          <t>Autor:</t>
        </r>
        <r>
          <rPr>
            <sz val="8"/>
            <color indexed="81"/>
            <rFont val="Tahoma"/>
            <family val="2"/>
          </rPr>
          <t xml:space="preserve">
amistoso POTEITOR</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5.xml><?xml version="1.0" encoding="utf-8"?>
<comments xmlns="http://schemas.openxmlformats.org/spreadsheetml/2006/main">
  <authors>
    <author>Autor</author>
  </authors>
  <commentList>
    <comment ref="P2" authorId="0" shapeId="0">
      <text>
        <r>
          <rPr>
            <b/>
            <sz val="8"/>
            <color indexed="81"/>
            <rFont val="Tahoma"/>
            <family val="2"/>
          </rPr>
          <t>Autor:</t>
        </r>
        <r>
          <rPr>
            <sz val="8"/>
            <color indexed="81"/>
            <rFont val="Tahoma"/>
            <family val="2"/>
          </rPr>
          <t xml:space="preserve">
Compra+Primer sueldo</t>
        </r>
      </text>
    </comment>
    <comment ref="E8" authorId="0" shapeId="0">
      <text>
        <r>
          <rPr>
            <b/>
            <sz val="8"/>
            <color indexed="81"/>
            <rFont val="Tahoma"/>
            <family val="2"/>
          </rPr>
          <t>Autor:</t>
        </r>
        <r>
          <rPr>
            <sz val="8"/>
            <color indexed="81"/>
            <rFont val="Tahoma"/>
            <family val="2"/>
          </rPr>
          <t xml:space="preserve">
Jugadores+Inmobilizado-Capital (año anterior todo)</t>
        </r>
      </text>
    </comment>
    <comment ref="F10"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5" authorId="0" shapeId="0">
      <text>
        <r>
          <rPr>
            <b/>
            <sz val="8"/>
            <color indexed="81"/>
            <rFont val="Tahoma"/>
            <family val="2"/>
          </rPr>
          <t>Autor:</t>
        </r>
        <r>
          <rPr>
            <sz val="8"/>
            <color indexed="81"/>
            <rFont val="Tahoma"/>
            <family val="2"/>
          </rPr>
          <t xml:space="preserve">
Ingresos anuales - Pagos anuales + Caja</t>
        </r>
      </text>
    </comment>
    <comment ref="C17" authorId="0" shapeId="0">
      <text>
        <r>
          <rPr>
            <b/>
            <sz val="8"/>
            <color indexed="81"/>
            <rFont val="Tahoma"/>
            <family val="2"/>
          </rPr>
          <t>Venta sin Comisiones</t>
        </r>
      </text>
    </comment>
    <comment ref="F18" authorId="0" shapeId="0">
      <text>
        <r>
          <rPr>
            <b/>
            <sz val="8"/>
            <color indexed="81"/>
            <rFont val="Tahoma"/>
            <family val="2"/>
          </rPr>
          <t>Autor:</t>
        </r>
        <r>
          <rPr>
            <sz val="8"/>
            <color indexed="81"/>
            <rFont val="Tahoma"/>
            <family val="2"/>
          </rPr>
          <t xml:space="preserve">
incluye sueldo primera semana</t>
        </r>
      </text>
    </comment>
  </commentList>
</comments>
</file>

<file path=xl/comments6.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G6" authorId="0" shapeId="0">
      <text>
        <r>
          <rPr>
            <b/>
            <sz val="8"/>
            <color indexed="81"/>
            <rFont val="Tahoma"/>
            <family val="2"/>
          </rPr>
          <t>Autor:</t>
        </r>
        <r>
          <rPr>
            <sz val="8"/>
            <color indexed="81"/>
            <rFont val="Tahoma"/>
            <family val="2"/>
          </rPr>
          <t xml:space="preserve">
amistoso POTEITOR</t>
        </r>
      </text>
    </comment>
    <comment ref="J6" authorId="0" shapeId="0">
      <text>
        <r>
          <rPr>
            <b/>
            <sz val="8"/>
            <color indexed="81"/>
            <rFont val="Tahoma"/>
            <family val="2"/>
          </rPr>
          <t>Autor:</t>
        </r>
        <r>
          <rPr>
            <sz val="8"/>
            <color indexed="81"/>
            <rFont val="Tahoma"/>
            <family val="2"/>
          </rPr>
          <t xml:space="preserve">
amistoso POTEITOR</t>
        </r>
      </text>
    </comment>
    <comment ref="K6" authorId="0" shapeId="0">
      <text>
        <r>
          <rPr>
            <b/>
            <sz val="8"/>
            <color indexed="81"/>
            <rFont val="Tahoma"/>
            <family val="2"/>
          </rPr>
          <t>Autor:</t>
        </r>
        <r>
          <rPr>
            <sz val="8"/>
            <color indexed="81"/>
            <rFont val="Tahoma"/>
            <family val="2"/>
          </rPr>
          <t xml:space="preserve">
amistoso POTEITOR</t>
        </r>
      </text>
    </comment>
    <comment ref="M6" authorId="0" shapeId="0">
      <text>
        <r>
          <rPr>
            <b/>
            <sz val="8"/>
            <color indexed="81"/>
            <rFont val="Tahoma"/>
            <family val="2"/>
          </rPr>
          <t>Autor:</t>
        </r>
        <r>
          <rPr>
            <sz val="8"/>
            <color indexed="81"/>
            <rFont val="Tahoma"/>
            <family val="2"/>
          </rPr>
          <t xml:space="preserve">
amistoso POTEITOR</t>
        </r>
      </text>
    </comment>
    <comment ref="P6" authorId="0" shapeId="0">
      <text>
        <r>
          <rPr>
            <b/>
            <sz val="8"/>
            <color indexed="81"/>
            <rFont val="Tahoma"/>
            <family val="2"/>
          </rPr>
          <t>Autor:</t>
        </r>
        <r>
          <rPr>
            <sz val="8"/>
            <color indexed="81"/>
            <rFont val="Tahoma"/>
            <family val="2"/>
          </rPr>
          <t xml:space="preserve">
amistoso POTEITOR</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7.xml><?xml version="1.0" encoding="utf-8"?>
<comments xmlns="http://schemas.openxmlformats.org/spreadsheetml/2006/main">
  <authors>
    <author>Autor</author>
  </authors>
  <commentList>
    <comment ref="P2" authorId="0" shapeId="0">
      <text>
        <r>
          <rPr>
            <b/>
            <sz val="8"/>
            <color indexed="81"/>
            <rFont val="Tahoma"/>
            <family val="2"/>
          </rPr>
          <t>Autor:</t>
        </r>
        <r>
          <rPr>
            <sz val="8"/>
            <color indexed="81"/>
            <rFont val="Tahoma"/>
            <family val="2"/>
          </rPr>
          <t xml:space="preserve">
Compra+Primer sueldo</t>
        </r>
      </text>
    </comment>
    <comment ref="E8" authorId="0" shapeId="0">
      <text>
        <r>
          <rPr>
            <b/>
            <sz val="8"/>
            <color indexed="81"/>
            <rFont val="Tahoma"/>
            <family val="2"/>
          </rPr>
          <t>Autor:</t>
        </r>
        <r>
          <rPr>
            <sz val="8"/>
            <color indexed="81"/>
            <rFont val="Tahoma"/>
            <family val="2"/>
          </rPr>
          <t xml:space="preserve">
Jugadores+Inmobilizado-Capital (año anterior todo)</t>
        </r>
      </text>
    </comment>
    <comment ref="F10"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5" authorId="0" shapeId="0">
      <text>
        <r>
          <rPr>
            <b/>
            <sz val="8"/>
            <color indexed="81"/>
            <rFont val="Tahoma"/>
            <family val="2"/>
          </rPr>
          <t>Autor:</t>
        </r>
        <r>
          <rPr>
            <sz val="8"/>
            <color indexed="81"/>
            <rFont val="Tahoma"/>
            <family val="2"/>
          </rPr>
          <t xml:space="preserve">
Ingresos anuales - Pagos anuales + Caja</t>
        </r>
      </text>
    </comment>
    <comment ref="C17" authorId="0" shapeId="0">
      <text>
        <r>
          <rPr>
            <b/>
            <sz val="8"/>
            <color indexed="81"/>
            <rFont val="Tahoma"/>
            <family val="2"/>
          </rPr>
          <t>Venta sin Comisiones</t>
        </r>
      </text>
    </comment>
    <comment ref="F18" authorId="0" shapeId="0">
      <text>
        <r>
          <rPr>
            <b/>
            <sz val="8"/>
            <color indexed="81"/>
            <rFont val="Tahoma"/>
            <family val="2"/>
          </rPr>
          <t>Autor:</t>
        </r>
        <r>
          <rPr>
            <sz val="8"/>
            <color indexed="81"/>
            <rFont val="Tahoma"/>
            <family val="2"/>
          </rPr>
          <t xml:space="preserve">
incluye sueldo primera semana</t>
        </r>
      </text>
    </comment>
  </commentList>
</comments>
</file>

<file path=xl/comments8.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 ref="E32" authorId="0" shapeId="0">
      <text>
        <r>
          <rPr>
            <b/>
            <sz val="8"/>
            <color indexed="81"/>
            <rFont val="Tahoma"/>
            <family val="2"/>
          </rPr>
          <t>Autor:</t>
        </r>
        <r>
          <rPr>
            <sz val="8"/>
            <color indexed="81"/>
            <rFont val="Tahoma"/>
            <family val="2"/>
          </rPr>
          <t xml:space="preserve">
Remodelar Estadio</t>
        </r>
      </text>
    </comment>
  </commentList>
</comments>
</file>

<file path=xl/sharedStrings.xml><?xml version="1.0" encoding="utf-8"?>
<sst xmlns="http://schemas.openxmlformats.org/spreadsheetml/2006/main" count="7470" uniqueCount="2605">
  <si>
    <t>Taquillas</t>
  </si>
  <si>
    <t>Sueldos</t>
  </si>
  <si>
    <t>Patrocinadores</t>
  </si>
  <si>
    <t>Venta de jugadores</t>
  </si>
  <si>
    <t>Construcción del estadio</t>
  </si>
  <si>
    <t>Comisiones</t>
  </si>
  <si>
    <t>Empleados</t>
  </si>
  <si>
    <t>Otros</t>
  </si>
  <si>
    <t>Juveniles</t>
  </si>
  <si>
    <t>Compra de jugadores*</t>
  </si>
  <si>
    <t>Intereses</t>
  </si>
  <si>
    <t>Entrenador</t>
  </si>
  <si>
    <t>SALDO INICIAL</t>
  </si>
  <si>
    <t>ECONOMIA HT</t>
  </si>
  <si>
    <t>TOTAL INGRESOS</t>
  </si>
  <si>
    <t>TOTAL GASTOS</t>
  </si>
  <si>
    <t>S1</t>
  </si>
  <si>
    <t>S10</t>
  </si>
  <si>
    <t>S11</t>
  </si>
  <si>
    <t>Nuevos Socios</t>
  </si>
  <si>
    <t>SALDO FINAL</t>
  </si>
  <si>
    <t>S7</t>
  </si>
  <si>
    <t>S8</t>
  </si>
  <si>
    <t>S9</t>
  </si>
  <si>
    <t>S12</t>
  </si>
  <si>
    <t>S13</t>
  </si>
  <si>
    <t>S14</t>
  </si>
  <si>
    <t>S15</t>
  </si>
  <si>
    <t>S16</t>
  </si>
  <si>
    <t xml:space="preserve">Mantenimiento </t>
  </si>
  <si>
    <t>Estadio</t>
  </si>
  <si>
    <t>Capacidad total:</t>
  </si>
  <si>
    <t>Grada general:</t>
  </si>
  <si>
    <t>Preferentes:</t>
  </si>
  <si>
    <t>Tribunas:</t>
  </si>
  <si>
    <t>Palcos:</t>
  </si>
  <si>
    <t>Tipo</t>
  </si>
  <si>
    <t>Coste</t>
  </si>
  <si>
    <t>Grada general</t>
  </si>
  <si>
    <t>Preferente</t>
  </si>
  <si>
    <t>Tribuna</t>
  </si>
  <si>
    <t>Palco</t>
  </si>
  <si>
    <t>Socios</t>
  </si>
  <si>
    <t>Insuficiente</t>
  </si>
  <si>
    <t>Aceptable</t>
  </si>
  <si>
    <t>Bueno</t>
  </si>
  <si>
    <t>Excelente</t>
  </si>
  <si>
    <t>Formidable</t>
  </si>
  <si>
    <t>Ventas</t>
  </si>
  <si>
    <t>Defensa</t>
  </si>
  <si>
    <t>Compra</t>
  </si>
  <si>
    <t>Premios</t>
  </si>
  <si>
    <t>%</t>
  </si>
  <si>
    <t>Pos A</t>
  </si>
  <si>
    <t>Pos B</t>
  </si>
  <si>
    <t>Medio</t>
  </si>
  <si>
    <t>Lateral</t>
  </si>
  <si>
    <t>Forma</t>
  </si>
  <si>
    <t>Posesion</t>
  </si>
  <si>
    <t>Ocasiones</t>
  </si>
  <si>
    <t>Categoría Niveles posibles (mayor a menor)</t>
  </si>
  <si>
    <t>Habilidades del jugador, etc</t>
  </si>
  <si>
    <r>
      <t>__________________________</t>
    </r>
    <r>
      <rPr>
        <b/>
        <u/>
        <sz val="11"/>
        <color theme="1"/>
        <rFont val="Calibri"/>
        <family val="2"/>
        <scheme val="minor"/>
      </rPr>
      <t>___</t>
    </r>
  </si>
  <si>
    <r>
      <t>_19,00__19,99__divino_____</t>
    </r>
    <r>
      <rPr>
        <b/>
        <u/>
        <sz val="11"/>
        <color theme="1"/>
        <rFont val="Calibri"/>
        <family val="2"/>
        <scheme val="minor"/>
      </rPr>
      <t>__</t>
    </r>
    <r>
      <rPr>
        <u/>
        <sz val="11"/>
        <color theme="1"/>
        <rFont val="Calibri"/>
        <family val="2"/>
        <scheme val="minor"/>
      </rPr>
      <t>_</t>
    </r>
  </si>
  <si>
    <r>
      <t>_18,00__18,99__utópico_____</t>
    </r>
    <r>
      <rPr>
        <b/>
        <u/>
        <sz val="11"/>
        <color theme="1"/>
        <rFont val="Calibri"/>
        <family val="2"/>
        <scheme val="minor"/>
      </rPr>
      <t>_</t>
    </r>
    <r>
      <rPr>
        <u/>
        <sz val="11"/>
        <color theme="1"/>
        <rFont val="Calibri"/>
        <family val="2"/>
        <scheme val="minor"/>
      </rPr>
      <t>_</t>
    </r>
  </si>
  <si>
    <r>
      <t>_17,00__17,99__mágico_____</t>
    </r>
    <r>
      <rPr>
        <b/>
        <u/>
        <sz val="11"/>
        <color theme="1"/>
        <rFont val="Calibri"/>
        <family val="2"/>
        <scheme val="minor"/>
      </rPr>
      <t>_</t>
    </r>
    <r>
      <rPr>
        <u/>
        <sz val="11"/>
        <color theme="1"/>
        <rFont val="Calibri"/>
        <family val="2"/>
        <scheme val="minor"/>
      </rPr>
      <t>_</t>
    </r>
  </si>
  <si>
    <r>
      <t>_16,00__16,99__mítico_____</t>
    </r>
    <r>
      <rPr>
        <b/>
        <u/>
        <sz val="11"/>
        <color theme="1"/>
        <rFont val="Calibri"/>
        <family val="2"/>
        <scheme val="minor"/>
      </rPr>
      <t>__</t>
    </r>
    <r>
      <rPr>
        <u/>
        <sz val="11"/>
        <color theme="1"/>
        <rFont val="Calibri"/>
        <family val="2"/>
        <scheme val="minor"/>
      </rPr>
      <t>_</t>
    </r>
  </si>
  <si>
    <r>
      <t>_15,00__15,99__extraterrestre</t>
    </r>
    <r>
      <rPr>
        <b/>
        <u/>
        <sz val="11"/>
        <color theme="1"/>
        <rFont val="Calibri"/>
        <family val="2"/>
        <scheme val="minor"/>
      </rPr>
      <t>_</t>
    </r>
  </si>
  <si>
    <r>
      <t>_14,00__14,99__titánico_____</t>
    </r>
    <r>
      <rPr>
        <b/>
        <u/>
        <sz val="11"/>
        <color theme="1"/>
        <rFont val="Calibri"/>
        <family val="2"/>
        <scheme val="minor"/>
      </rPr>
      <t>_</t>
    </r>
    <r>
      <rPr>
        <u/>
        <sz val="11"/>
        <color theme="1"/>
        <rFont val="Calibri"/>
        <family val="2"/>
        <scheme val="minor"/>
      </rPr>
      <t>_</t>
    </r>
  </si>
  <si>
    <r>
      <t>_13,00__13,99__sobrenatural_</t>
    </r>
    <r>
      <rPr>
        <b/>
        <u/>
        <sz val="11"/>
        <color theme="1"/>
        <rFont val="Calibri"/>
        <family val="2"/>
        <scheme val="minor"/>
      </rPr>
      <t>_</t>
    </r>
  </si>
  <si>
    <t>_12,00__12,99__clase mundial_</t>
  </si>
  <si>
    <r>
      <t>_11,00__11,99__magnífico__</t>
    </r>
    <r>
      <rPr>
        <b/>
        <u/>
        <sz val="11"/>
        <color theme="1"/>
        <rFont val="Calibri"/>
        <family val="2"/>
        <scheme val="minor"/>
      </rPr>
      <t>_ _</t>
    </r>
  </si>
  <si>
    <r>
      <t>_10,00__10,99__brillante___</t>
    </r>
    <r>
      <rPr>
        <b/>
        <u/>
        <sz val="11"/>
        <color theme="1"/>
        <rFont val="Calibri"/>
        <family val="2"/>
        <scheme val="minor"/>
      </rPr>
      <t>__</t>
    </r>
    <r>
      <rPr>
        <u/>
        <sz val="11"/>
        <color theme="1"/>
        <rFont val="Calibri"/>
        <family val="2"/>
        <scheme val="minor"/>
      </rPr>
      <t>_</t>
    </r>
  </si>
  <si>
    <r>
      <t>_9,00_</t>
    </r>
    <r>
      <rPr>
        <b/>
        <u/>
        <sz val="11"/>
        <color theme="1"/>
        <rFont val="Calibri"/>
        <family val="2"/>
        <scheme val="minor"/>
      </rPr>
      <t>_</t>
    </r>
    <r>
      <rPr>
        <u/>
        <sz val="11"/>
        <color theme="1"/>
        <rFont val="Calibri"/>
        <family val="2"/>
        <scheme val="minor"/>
      </rPr>
      <t>_9,99_</t>
    </r>
    <r>
      <rPr>
        <b/>
        <u/>
        <sz val="11"/>
        <color theme="1"/>
        <rFont val="Calibri"/>
        <family val="2"/>
        <scheme val="minor"/>
      </rPr>
      <t>_</t>
    </r>
    <r>
      <rPr>
        <u/>
        <sz val="11"/>
        <color theme="1"/>
        <rFont val="Calibri"/>
        <family val="2"/>
        <scheme val="minor"/>
      </rPr>
      <t>_destacado_</t>
    </r>
    <r>
      <rPr>
        <b/>
        <u/>
        <sz val="11"/>
        <color theme="1"/>
        <rFont val="Calibri"/>
        <family val="2"/>
        <scheme val="minor"/>
      </rPr>
      <t>__</t>
    </r>
    <r>
      <rPr>
        <u/>
        <sz val="11"/>
        <color theme="1"/>
        <rFont val="Calibri"/>
        <family val="2"/>
        <scheme val="minor"/>
      </rPr>
      <t>_</t>
    </r>
  </si>
  <si>
    <r>
      <t>_8,00_</t>
    </r>
    <r>
      <rPr>
        <b/>
        <u/>
        <sz val="11"/>
        <color theme="1"/>
        <rFont val="Calibri"/>
        <family val="2"/>
        <scheme val="minor"/>
      </rPr>
      <t>_</t>
    </r>
    <r>
      <rPr>
        <u/>
        <sz val="11"/>
        <color theme="1"/>
        <rFont val="Calibri"/>
        <family val="2"/>
        <scheme val="minor"/>
      </rPr>
      <t>_8,99_</t>
    </r>
    <r>
      <rPr>
        <b/>
        <u/>
        <sz val="11"/>
        <color theme="1"/>
        <rFont val="Calibri"/>
        <family val="2"/>
        <scheme val="minor"/>
      </rPr>
      <t>_</t>
    </r>
    <r>
      <rPr>
        <u/>
        <sz val="11"/>
        <color theme="1"/>
        <rFont val="Calibri"/>
        <family val="2"/>
        <scheme val="minor"/>
      </rPr>
      <t>_formidable_</t>
    </r>
    <r>
      <rPr>
        <b/>
        <u/>
        <sz val="11"/>
        <color theme="1"/>
        <rFont val="Calibri"/>
        <family val="2"/>
        <scheme val="minor"/>
      </rPr>
      <t>_ _</t>
    </r>
  </si>
  <si>
    <r>
      <t>_7,00_</t>
    </r>
    <r>
      <rPr>
        <b/>
        <u/>
        <sz val="11"/>
        <color theme="1"/>
        <rFont val="Calibri"/>
        <family val="2"/>
        <scheme val="minor"/>
      </rPr>
      <t>_</t>
    </r>
    <r>
      <rPr>
        <u/>
        <sz val="11"/>
        <color theme="1"/>
        <rFont val="Calibri"/>
        <family val="2"/>
        <scheme val="minor"/>
      </rPr>
      <t>_7,99_</t>
    </r>
    <r>
      <rPr>
        <b/>
        <u/>
        <sz val="11"/>
        <color theme="1"/>
        <rFont val="Calibri"/>
        <family val="2"/>
        <scheme val="minor"/>
      </rPr>
      <t>_</t>
    </r>
    <r>
      <rPr>
        <u/>
        <sz val="11"/>
        <color theme="1"/>
        <rFont val="Calibri"/>
        <family val="2"/>
        <scheme val="minor"/>
      </rPr>
      <t>_excelente__</t>
    </r>
    <r>
      <rPr>
        <b/>
        <u/>
        <sz val="11"/>
        <color theme="1"/>
        <rFont val="Calibri"/>
        <family val="2"/>
        <scheme val="minor"/>
      </rPr>
      <t>_ _</t>
    </r>
  </si>
  <si>
    <r>
      <t>_6,00_</t>
    </r>
    <r>
      <rPr>
        <b/>
        <u/>
        <sz val="11"/>
        <color theme="1"/>
        <rFont val="Calibri"/>
        <family val="2"/>
        <scheme val="minor"/>
      </rPr>
      <t>_</t>
    </r>
    <r>
      <rPr>
        <u/>
        <sz val="11"/>
        <color theme="1"/>
        <rFont val="Calibri"/>
        <family val="2"/>
        <scheme val="minor"/>
      </rPr>
      <t>_6,99_</t>
    </r>
    <r>
      <rPr>
        <b/>
        <u/>
        <sz val="11"/>
        <color theme="1"/>
        <rFont val="Calibri"/>
        <family val="2"/>
        <scheme val="minor"/>
      </rPr>
      <t>_</t>
    </r>
    <r>
      <rPr>
        <u/>
        <sz val="11"/>
        <color theme="1"/>
        <rFont val="Calibri"/>
        <family val="2"/>
        <scheme val="minor"/>
      </rPr>
      <t>_bueno________</t>
    </r>
  </si>
  <si>
    <r>
      <t>_5,00_</t>
    </r>
    <r>
      <rPr>
        <b/>
        <u/>
        <sz val="11"/>
        <color theme="1"/>
        <rFont val="Calibri"/>
        <family val="2"/>
        <scheme val="minor"/>
      </rPr>
      <t>_</t>
    </r>
    <r>
      <rPr>
        <u/>
        <sz val="11"/>
        <color theme="1"/>
        <rFont val="Calibri"/>
        <family val="2"/>
        <scheme val="minor"/>
      </rPr>
      <t>_5,99_</t>
    </r>
    <r>
      <rPr>
        <b/>
        <u/>
        <sz val="11"/>
        <color theme="1"/>
        <rFont val="Calibri"/>
        <family val="2"/>
        <scheme val="minor"/>
      </rPr>
      <t>_</t>
    </r>
    <r>
      <rPr>
        <u/>
        <sz val="11"/>
        <color theme="1"/>
        <rFont val="Calibri"/>
        <family val="2"/>
        <scheme val="minor"/>
      </rPr>
      <t>_aceptable__</t>
    </r>
    <r>
      <rPr>
        <b/>
        <u/>
        <sz val="11"/>
        <color theme="1"/>
        <rFont val="Calibri"/>
        <family val="2"/>
        <scheme val="minor"/>
      </rPr>
      <t>_ _</t>
    </r>
  </si>
  <si>
    <r>
      <t>_4,00_</t>
    </r>
    <r>
      <rPr>
        <b/>
        <u/>
        <sz val="11"/>
        <color theme="1"/>
        <rFont val="Calibri"/>
        <family val="2"/>
        <scheme val="minor"/>
      </rPr>
      <t>_</t>
    </r>
    <r>
      <rPr>
        <u/>
        <sz val="11"/>
        <color theme="1"/>
        <rFont val="Calibri"/>
        <family val="2"/>
        <scheme val="minor"/>
      </rPr>
      <t>_4,99_</t>
    </r>
    <r>
      <rPr>
        <b/>
        <u/>
        <sz val="11"/>
        <color theme="1"/>
        <rFont val="Calibri"/>
        <family val="2"/>
        <scheme val="minor"/>
      </rPr>
      <t>_</t>
    </r>
    <r>
      <rPr>
        <u/>
        <sz val="11"/>
        <color theme="1"/>
        <rFont val="Calibri"/>
        <family val="2"/>
        <scheme val="minor"/>
      </rPr>
      <t>_insuficiente</t>
    </r>
    <r>
      <rPr>
        <b/>
        <u/>
        <sz val="11"/>
        <color theme="1"/>
        <rFont val="Calibri"/>
        <family val="2"/>
        <scheme val="minor"/>
      </rPr>
      <t>__</t>
    </r>
    <r>
      <rPr>
        <u/>
        <sz val="11"/>
        <color theme="1"/>
        <rFont val="Calibri"/>
        <family val="2"/>
        <scheme val="minor"/>
      </rPr>
      <t>_</t>
    </r>
  </si>
  <si>
    <r>
      <t>_3,00_</t>
    </r>
    <r>
      <rPr>
        <b/>
        <u/>
        <sz val="11"/>
        <color theme="1"/>
        <rFont val="Calibri"/>
        <family val="2"/>
        <scheme val="minor"/>
      </rPr>
      <t>_</t>
    </r>
    <r>
      <rPr>
        <u/>
        <sz val="11"/>
        <color theme="1"/>
        <rFont val="Calibri"/>
        <family val="2"/>
        <scheme val="minor"/>
      </rPr>
      <t>_3,99_</t>
    </r>
    <r>
      <rPr>
        <b/>
        <u/>
        <sz val="11"/>
        <color theme="1"/>
        <rFont val="Calibri"/>
        <family val="2"/>
        <scheme val="minor"/>
      </rPr>
      <t>_</t>
    </r>
    <r>
      <rPr>
        <u/>
        <sz val="11"/>
        <color theme="1"/>
        <rFont val="Calibri"/>
        <family val="2"/>
        <scheme val="minor"/>
      </rPr>
      <t>_débil______</t>
    </r>
    <r>
      <rPr>
        <b/>
        <u/>
        <sz val="11"/>
        <color theme="1"/>
        <rFont val="Calibri"/>
        <family val="2"/>
        <scheme val="minor"/>
      </rPr>
      <t>__</t>
    </r>
    <r>
      <rPr>
        <u/>
        <sz val="11"/>
        <color theme="1"/>
        <rFont val="Calibri"/>
        <family val="2"/>
        <scheme val="minor"/>
      </rPr>
      <t>_</t>
    </r>
  </si>
  <si>
    <r>
      <t>_2,00_</t>
    </r>
    <r>
      <rPr>
        <b/>
        <u/>
        <sz val="11"/>
        <color theme="1"/>
        <rFont val="Calibri"/>
        <family val="2"/>
        <scheme val="minor"/>
      </rPr>
      <t>_</t>
    </r>
    <r>
      <rPr>
        <u/>
        <sz val="11"/>
        <color theme="1"/>
        <rFont val="Calibri"/>
        <family val="2"/>
        <scheme val="minor"/>
      </rPr>
      <t>_2,99_</t>
    </r>
    <r>
      <rPr>
        <b/>
        <u/>
        <sz val="11"/>
        <color theme="1"/>
        <rFont val="Calibri"/>
        <family val="2"/>
        <scheme val="minor"/>
      </rPr>
      <t>_</t>
    </r>
    <r>
      <rPr>
        <u/>
        <sz val="11"/>
        <color theme="1"/>
        <rFont val="Calibri"/>
        <family val="2"/>
        <scheme val="minor"/>
      </rPr>
      <t>_pobre_____</t>
    </r>
    <r>
      <rPr>
        <b/>
        <u/>
        <sz val="11"/>
        <color theme="1"/>
        <rFont val="Calibri"/>
        <family val="2"/>
        <scheme val="minor"/>
      </rPr>
      <t>___</t>
    </r>
  </si>
  <si>
    <r>
      <t>_1,00_</t>
    </r>
    <r>
      <rPr>
        <b/>
        <u/>
        <sz val="11"/>
        <color theme="1"/>
        <rFont val="Calibri"/>
        <family val="2"/>
        <scheme val="minor"/>
      </rPr>
      <t>_</t>
    </r>
    <r>
      <rPr>
        <u/>
        <sz val="11"/>
        <color theme="1"/>
        <rFont val="Calibri"/>
        <family val="2"/>
        <scheme val="minor"/>
      </rPr>
      <t>_1,99_</t>
    </r>
    <r>
      <rPr>
        <b/>
        <u/>
        <sz val="11"/>
        <color theme="1"/>
        <rFont val="Calibri"/>
        <family val="2"/>
        <scheme val="minor"/>
      </rPr>
      <t>_</t>
    </r>
    <r>
      <rPr>
        <u/>
        <sz val="11"/>
        <color theme="1"/>
        <rFont val="Calibri"/>
        <family val="2"/>
        <scheme val="minor"/>
      </rPr>
      <t>_horrible____</t>
    </r>
    <r>
      <rPr>
        <b/>
        <u/>
        <sz val="11"/>
        <color theme="1"/>
        <rFont val="Calibri"/>
        <family val="2"/>
        <scheme val="minor"/>
      </rPr>
      <t>_ _</t>
    </r>
  </si>
  <si>
    <r>
      <t>_0,01_</t>
    </r>
    <r>
      <rPr>
        <b/>
        <u/>
        <sz val="11"/>
        <color theme="1"/>
        <rFont val="Calibri"/>
        <family val="2"/>
        <scheme val="minor"/>
      </rPr>
      <t>_</t>
    </r>
    <r>
      <rPr>
        <u/>
        <sz val="11"/>
        <color theme="1"/>
        <rFont val="Calibri"/>
        <family val="2"/>
        <scheme val="minor"/>
      </rPr>
      <t>_0,99_</t>
    </r>
    <r>
      <rPr>
        <b/>
        <u/>
        <sz val="11"/>
        <color theme="1"/>
        <rFont val="Calibri"/>
        <family val="2"/>
        <scheme val="minor"/>
      </rPr>
      <t>_</t>
    </r>
    <r>
      <rPr>
        <u/>
        <sz val="11"/>
        <color theme="1"/>
        <rFont val="Calibri"/>
        <family val="2"/>
        <scheme val="minor"/>
      </rPr>
      <t>_desastroso__ _</t>
    </r>
  </si>
  <si>
    <r>
      <t>_0,00_</t>
    </r>
    <r>
      <rPr>
        <b/>
        <u/>
        <sz val="11"/>
        <color theme="1"/>
        <rFont val="Calibri"/>
        <family val="2"/>
        <scheme val="minor"/>
      </rPr>
      <t>_</t>
    </r>
    <r>
      <rPr>
        <u/>
        <sz val="11"/>
        <color theme="1"/>
        <rFont val="Calibri"/>
        <family val="2"/>
        <scheme val="minor"/>
      </rPr>
      <t>_0,00_</t>
    </r>
    <r>
      <rPr>
        <b/>
        <u/>
        <sz val="11"/>
        <color theme="1"/>
        <rFont val="Calibri"/>
        <family val="2"/>
        <scheme val="minor"/>
      </rPr>
      <t>_</t>
    </r>
    <r>
      <rPr>
        <u/>
        <sz val="11"/>
        <color theme="1"/>
        <rFont val="Calibri"/>
        <family val="2"/>
        <scheme val="minor"/>
      </rPr>
      <t>_no sabe___</t>
    </r>
    <r>
      <rPr>
        <b/>
        <u/>
        <sz val="11"/>
        <color theme="1"/>
        <rFont val="Calibri"/>
        <family val="2"/>
        <scheme val="minor"/>
      </rPr>
      <t>__</t>
    </r>
    <r>
      <rPr>
        <u/>
        <sz val="11"/>
        <color theme="1"/>
        <rFont val="Calibri"/>
        <family val="2"/>
        <scheme val="minor"/>
      </rPr>
      <t>_</t>
    </r>
  </si>
  <si>
    <t>Habilidades del técnico /</t>
  </si>
  <si>
    <t>Liderazgo</t>
  </si>
  <si>
    <t>______________ _</t>
  </si>
  <si>
    <r>
      <t>_8__excelente_</t>
    </r>
    <r>
      <rPr>
        <b/>
        <u/>
        <sz val="11"/>
        <color theme="1"/>
        <rFont val="Calibri"/>
        <family val="2"/>
        <scheme val="minor"/>
      </rPr>
      <t xml:space="preserve"> </t>
    </r>
    <r>
      <rPr>
        <u/>
        <sz val="11"/>
        <color theme="1"/>
        <rFont val="Calibri"/>
        <family val="2"/>
        <scheme val="minor"/>
      </rPr>
      <t>_</t>
    </r>
  </si>
  <si>
    <t>_7__bueno____ _</t>
  </si>
  <si>
    <r>
      <t>_6__aceptable_</t>
    </r>
    <r>
      <rPr>
        <b/>
        <u/>
        <sz val="11"/>
        <color theme="1"/>
        <rFont val="Calibri"/>
        <family val="2"/>
        <scheme val="minor"/>
      </rPr>
      <t xml:space="preserve"> </t>
    </r>
    <r>
      <rPr>
        <u/>
        <sz val="11"/>
        <color theme="1"/>
        <rFont val="Calibri"/>
        <family val="2"/>
        <scheme val="minor"/>
      </rPr>
      <t>_</t>
    </r>
  </si>
  <si>
    <t>_5__insuficiente_</t>
  </si>
  <si>
    <t>_4__débil_______</t>
  </si>
  <si>
    <r>
      <t>_3__pobre____</t>
    </r>
    <r>
      <rPr>
        <b/>
        <u/>
        <sz val="11"/>
        <color theme="1"/>
        <rFont val="Calibri"/>
        <family val="2"/>
        <scheme val="minor"/>
      </rPr>
      <t>_</t>
    </r>
    <r>
      <rPr>
        <u/>
        <sz val="11"/>
        <color theme="1"/>
        <rFont val="Calibri"/>
        <family val="2"/>
        <scheme val="minor"/>
      </rPr>
      <t>_</t>
    </r>
  </si>
  <si>
    <r>
      <t>_2__horrible_</t>
    </r>
    <r>
      <rPr>
        <b/>
        <u/>
        <sz val="11"/>
        <color theme="1"/>
        <rFont val="Calibri"/>
        <family val="2"/>
        <scheme val="minor"/>
      </rPr>
      <t>___</t>
    </r>
  </si>
  <si>
    <t>_1__desastroso </t>
  </si>
  <si>
    <t>_0__no sabe____</t>
  </si>
  <si>
    <t>Experiencia con formaciones/</t>
  </si>
  <si>
    <t>Nivel de Inferiores</t>
  </si>
  <si>
    <t>Auspiciantes</t>
  </si>
  <si>
    <r>
      <t>_________________________________</t>
    </r>
    <r>
      <rPr>
        <b/>
        <u/>
        <sz val="11"/>
        <color theme="1"/>
        <rFont val="Calibri"/>
        <family val="2"/>
        <scheme val="minor"/>
      </rPr>
      <t>_</t>
    </r>
    <r>
      <rPr>
        <u/>
        <sz val="11"/>
        <color theme="1"/>
        <rFont val="Calibri"/>
        <family val="2"/>
        <scheme val="minor"/>
      </rPr>
      <t>_</t>
    </r>
  </si>
  <si>
    <t>_10__Escribiéndote poemas de amor_</t>
  </si>
  <si>
    <r>
      <t>_9_</t>
    </r>
    <r>
      <rPr>
        <b/>
        <u/>
        <sz val="11"/>
        <color theme="1"/>
        <rFont val="Calibri"/>
        <family val="2"/>
        <scheme val="minor"/>
      </rPr>
      <t>_</t>
    </r>
    <r>
      <rPr>
        <u/>
        <sz val="11"/>
        <color theme="1"/>
        <rFont val="Calibri"/>
        <family val="2"/>
        <scheme val="minor"/>
      </rPr>
      <t>_Bailando en las calles________ _</t>
    </r>
  </si>
  <si>
    <r>
      <t>_8_</t>
    </r>
    <r>
      <rPr>
        <b/>
        <u/>
        <sz val="11"/>
        <color theme="1"/>
        <rFont val="Calibri"/>
        <family val="2"/>
        <scheme val="minor"/>
      </rPr>
      <t>_</t>
    </r>
    <r>
      <rPr>
        <u/>
        <sz val="11"/>
        <color theme="1"/>
        <rFont val="Calibri"/>
        <family val="2"/>
        <scheme val="minor"/>
      </rPr>
      <t>_Felices______________________ _</t>
    </r>
  </si>
  <si>
    <r>
      <t>_7_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</si>
  <si>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_Alegres_______________________</t>
    </r>
  </si>
  <si>
    <r>
      <t>_5_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</si>
  <si>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</si>
  <si>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_Irritados______________________</t>
    </r>
  </si>
  <si>
    <r>
      <t>_2_</t>
    </r>
    <r>
      <rPr>
        <b/>
        <u/>
        <sz val="11"/>
        <color theme="1"/>
        <rFont val="Calibri"/>
        <family val="2"/>
        <scheme val="minor"/>
      </rPr>
      <t>_</t>
    </r>
    <r>
      <rPr>
        <u/>
        <sz val="11"/>
        <color theme="1"/>
        <rFont val="Calibri"/>
        <family val="2"/>
        <scheme val="minor"/>
      </rPr>
      <t>_Furiosos____________________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</si>
  <si>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_En sus días________________</t>
    </r>
    <r>
      <rPr>
        <b/>
        <u/>
        <sz val="11"/>
        <color theme="1"/>
        <rFont val="Calibri"/>
        <family val="2"/>
        <scheme val="minor"/>
      </rPr>
      <t>__</t>
    </r>
    <r>
      <rPr>
        <u/>
        <sz val="11"/>
        <color theme="1"/>
        <rFont val="Calibri"/>
        <family val="2"/>
        <scheme val="minor"/>
      </rPr>
      <t>_</t>
    </r>
  </si>
  <si>
    <t>Ánimo de los fans</t>
  </si>
  <si>
    <t>_12__Escribiéndote poemas de amor_</t>
  </si>
  <si>
    <t>_11__Bailando en las calles________ _</t>
  </si>
  <si>
    <t>_10__Felices______________________ _</t>
  </si>
  <si>
    <r>
      <t>_9_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</si>
  <si>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_Alegres_______________________</t>
    </r>
  </si>
  <si>
    <r>
      <t>_7_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</si>
  <si>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</si>
  <si>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_Decepcionados________________</t>
    </r>
  </si>
  <si>
    <r>
      <t>_4_</t>
    </r>
    <r>
      <rPr>
        <b/>
        <u/>
        <sz val="11"/>
        <color theme="1"/>
        <rFont val="Calibri"/>
        <family val="2"/>
        <scheme val="minor"/>
      </rPr>
      <t>_</t>
    </r>
    <r>
      <rPr>
        <u/>
        <sz val="11"/>
        <color theme="1"/>
        <rFont val="Calibri"/>
        <family val="2"/>
        <scheme val="minor"/>
      </rPr>
      <t>_Irritados______________________</t>
    </r>
  </si>
  <si>
    <r>
      <t>_3_</t>
    </r>
    <r>
      <rPr>
        <b/>
        <u/>
        <sz val="11"/>
        <color theme="1"/>
        <rFont val="Calibri"/>
        <family val="2"/>
        <scheme val="minor"/>
      </rPr>
      <t>_</t>
    </r>
    <r>
      <rPr>
        <u/>
        <sz val="11"/>
        <color theme="1"/>
        <rFont val="Calibri"/>
        <family val="2"/>
        <scheme val="minor"/>
      </rPr>
      <t>_Molestos____________________ _</t>
    </r>
  </si>
  <si>
    <t>Expectativas de los fans para el partido</t>
  </si>
  <si>
    <r>
      <t>_11__¡Vamos a humillarlos!______</t>
    </r>
    <r>
      <rPr>
        <b/>
        <u/>
        <sz val="11"/>
        <color theme="1"/>
        <rFont val="Calibri"/>
        <family val="2"/>
        <scheme val="minor"/>
      </rPr>
      <t>___</t>
    </r>
  </si>
  <si>
    <t>_10__¡Nuestro rival es pan comido!_ _</t>
  </si>
  <si>
    <r>
      <t>_9_</t>
    </r>
    <r>
      <rPr>
        <b/>
        <u/>
        <sz val="11"/>
        <color theme="1"/>
        <rFont val="Calibri"/>
        <family val="2"/>
        <scheme val="minor"/>
      </rPr>
      <t>_</t>
    </r>
    <r>
      <rPr>
        <u/>
        <sz val="11"/>
        <color theme="1"/>
        <rFont val="Calibri"/>
        <family val="2"/>
        <scheme val="minor"/>
      </rPr>
      <t>_Ganaremos_________________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</si>
  <si>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_Somos favoritos____________</t>
    </r>
    <r>
      <rPr>
        <b/>
        <u/>
        <sz val="11"/>
        <color theme="1"/>
        <rFont val="Calibri"/>
        <family val="2"/>
        <scheme val="minor"/>
      </rPr>
      <t>_ _</t>
    </r>
  </si>
  <si>
    <r>
      <t>_7_</t>
    </r>
    <r>
      <rPr>
        <b/>
        <u/>
        <sz val="11"/>
        <color theme="1"/>
        <rFont val="Calibri"/>
        <family val="2"/>
        <scheme val="minor"/>
      </rPr>
      <t>_</t>
    </r>
    <r>
      <rPr>
        <u/>
        <sz val="11"/>
        <color theme="1"/>
        <rFont val="Calibri"/>
        <family val="2"/>
        <scheme val="minor"/>
      </rPr>
      <t>_Tenemos la ventaja________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</si>
  <si>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_Será un encuentro muy parejo._</t>
    </r>
  </si>
  <si>
    <r>
      <t>_5_</t>
    </r>
    <r>
      <rPr>
        <b/>
        <u/>
        <sz val="11"/>
        <color theme="1"/>
        <rFont val="Calibri"/>
        <family val="2"/>
        <scheme val="minor"/>
      </rPr>
      <t>_</t>
    </r>
    <r>
      <rPr>
        <u/>
        <sz val="11"/>
        <color theme="1"/>
        <rFont val="Calibri"/>
        <family val="2"/>
        <scheme val="minor"/>
      </rPr>
      <t>_Ellos tienen la ventaja______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</si>
  <si>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_Ellos son favoritos_____________</t>
    </r>
  </si>
  <si>
    <r>
      <t>_3_</t>
    </r>
    <r>
      <rPr>
        <b/>
        <u/>
        <sz val="11"/>
        <color theme="1"/>
        <rFont val="Calibri"/>
        <family val="2"/>
        <scheme val="minor"/>
      </rPr>
      <t>_</t>
    </r>
    <r>
      <rPr>
        <u/>
        <sz val="11"/>
        <color theme="1"/>
        <rFont val="Calibri"/>
        <family val="2"/>
        <scheme val="minor"/>
      </rPr>
      <t>_Perderemos_________________ _</t>
    </r>
  </si>
  <si>
    <r>
      <t>_2_</t>
    </r>
    <r>
      <rPr>
        <b/>
        <u/>
        <sz val="11"/>
        <color theme="1"/>
        <rFont val="Calibri"/>
        <family val="2"/>
        <scheme val="minor"/>
      </rPr>
      <t>_</t>
    </r>
    <r>
      <rPr>
        <u/>
        <sz val="11"/>
        <color theme="1"/>
        <rFont val="Calibri"/>
        <family val="2"/>
        <scheme val="minor"/>
      </rPr>
      <t>_Nos superan en todo_______</t>
    </r>
    <r>
      <rPr>
        <b/>
        <u/>
        <sz val="11"/>
        <color theme="1"/>
        <rFont val="Calibri"/>
        <family val="2"/>
        <scheme val="minor"/>
      </rPr>
      <t>___</t>
    </r>
  </si>
  <si>
    <r>
      <t>_1_</t>
    </r>
    <r>
      <rPr>
        <b/>
        <u/>
        <sz val="11"/>
        <color theme="1"/>
        <rFont val="Calibri"/>
        <family val="2"/>
        <scheme val="minor"/>
      </rPr>
      <t>_</t>
    </r>
    <r>
      <rPr>
        <u/>
        <sz val="11"/>
        <color theme="1"/>
        <rFont val="Calibri"/>
        <family val="2"/>
        <scheme val="minor"/>
      </rPr>
      <t>_¡Mejor no presentarse!______</t>
    </r>
    <r>
      <rPr>
        <b/>
        <u/>
        <sz val="11"/>
        <color theme="1"/>
        <rFont val="Calibri"/>
        <family val="2"/>
        <scheme val="minor"/>
      </rPr>
      <t>_ _</t>
    </r>
  </si>
  <si>
    <r>
      <t>__</t>
    </r>
    <r>
      <rPr>
        <b/>
        <u/>
        <sz val="11"/>
        <color theme="1"/>
        <rFont val="Calibri"/>
        <family val="2"/>
        <scheme val="minor"/>
      </rPr>
      <t>__</t>
    </r>
    <r>
      <rPr>
        <u/>
        <sz val="11"/>
        <color theme="1"/>
        <rFont val="Calibri"/>
        <family val="2"/>
        <scheme val="minor"/>
      </rPr>
      <t>____________________________</t>
    </r>
    <r>
      <rPr>
        <b/>
        <u/>
        <sz val="11"/>
        <color theme="1"/>
        <rFont val="Calibri"/>
        <family val="2"/>
        <scheme val="minor"/>
      </rPr>
      <t>_ _</t>
    </r>
  </si>
  <si>
    <t>¡Mostrar la firma entera!</t>
  </si>
  <si>
    <t>querés ser mi club amigo/supporter? gracias!!!</t>
  </si>
  <si>
    <t>Mis clubes amigos:</t>
  </si>
  <si>
    <t>(http://docs.google.com/Doc?docid=0AWl8cQ9-H8R...hl=es)</t>
  </si>
  <si>
    <t>Expectativas de los fans para la temporada</t>
  </si>
  <si>
    <r>
      <t>__________________________________________</t>
    </r>
    <r>
      <rPr>
        <b/>
        <u/>
        <sz val="11"/>
        <color theme="1"/>
        <rFont val="Calibri"/>
        <family val="2"/>
        <scheme val="minor"/>
      </rPr>
      <t>_ _</t>
    </r>
  </si>
  <si>
    <r>
      <t>_7__¡Somos mucho mejores que esta división!_</t>
    </r>
    <r>
      <rPr>
        <b/>
        <u/>
        <sz val="11"/>
        <color theme="1"/>
        <rFont val="Calibri"/>
        <family val="2"/>
        <scheme val="minor"/>
      </rPr>
      <t xml:space="preserve"> </t>
    </r>
  </si>
  <si>
    <r>
      <t>_6__Debemos ganar esta temporada_______</t>
    </r>
    <r>
      <rPr>
        <b/>
        <u/>
        <sz val="11"/>
        <color theme="1"/>
        <rFont val="Calibri"/>
        <family val="2"/>
        <scheme val="minor"/>
      </rPr>
      <t>__</t>
    </r>
    <r>
      <rPr>
        <u/>
        <sz val="11"/>
        <color theme="1"/>
        <rFont val="Calibri"/>
        <family val="2"/>
        <scheme val="minor"/>
      </rPr>
      <t>_</t>
    </r>
  </si>
  <si>
    <t>_5__¡Luchar por el título!______________________</t>
  </si>
  <si>
    <r>
      <t>_4__Estar entre los mejores 4______________</t>
    </r>
    <r>
      <rPr>
        <b/>
        <u/>
        <sz val="11"/>
        <color theme="1"/>
        <rFont val="Calibri"/>
        <family val="2"/>
        <scheme val="minor"/>
      </rPr>
      <t>__</t>
    </r>
    <r>
      <rPr>
        <u/>
        <sz val="11"/>
        <color theme="1"/>
        <rFont val="Calibri"/>
        <family val="2"/>
        <scheme val="minor"/>
      </rPr>
      <t>_</t>
    </r>
  </si>
  <si>
    <t>_3__Tendremos que luchar para mantenernos__</t>
  </si>
  <si>
    <r>
      <t>_2__Cada punto en esta división es un premio_</t>
    </r>
    <r>
      <rPr>
        <b/>
        <u/>
        <sz val="11"/>
        <color theme="1"/>
        <rFont val="Calibri"/>
        <family val="2"/>
        <scheme val="minor"/>
      </rPr>
      <t xml:space="preserve"> </t>
    </r>
  </si>
  <si>
    <t>_1__No somos dignos de estar en esta división_</t>
  </si>
  <si>
    <t>Personalidad</t>
  </si>
  <si>
    <r>
      <t>______________________________</t>
    </r>
    <r>
      <rPr>
        <b/>
        <u/>
        <sz val="11"/>
        <color theme="1"/>
        <rFont val="Calibri"/>
        <family val="2"/>
        <scheme val="minor"/>
      </rPr>
      <t>___</t>
    </r>
  </si>
  <si>
    <t>_6__Querido compañero de equipo_</t>
  </si>
  <si>
    <r>
      <t>_5__popular___________________</t>
    </r>
    <r>
      <rPr>
        <b/>
        <u/>
        <sz val="11"/>
        <color theme="1"/>
        <rFont val="Calibri"/>
        <family val="2"/>
        <scheme val="minor"/>
      </rPr>
      <t>__</t>
    </r>
    <r>
      <rPr>
        <u/>
        <sz val="11"/>
        <color theme="1"/>
        <rFont val="Calibri"/>
        <family val="2"/>
        <scheme val="minor"/>
      </rPr>
      <t>_</t>
    </r>
  </si>
  <si>
    <t>_4__carismático___________________</t>
  </si>
  <si>
    <t>_3__agradable____________________</t>
  </si>
  <si>
    <t>_2__polémico_____________________</t>
  </si>
  <si>
    <t>_1__malintencionado______________</t>
  </si>
  <si>
    <t>Honestidad</t>
  </si>
  <si>
    <t>________________</t>
  </si>
  <si>
    <t>_6__santo_____ _</t>
  </si>
  <si>
    <r>
      <t>_5__honorable_</t>
    </r>
    <r>
      <rPr>
        <b/>
        <u/>
        <sz val="11"/>
        <color theme="1"/>
        <rFont val="Calibri"/>
        <family val="2"/>
        <scheme val="minor"/>
      </rPr>
      <t xml:space="preserve"> </t>
    </r>
    <r>
      <rPr>
        <u/>
        <sz val="11"/>
        <color theme="1"/>
        <rFont val="Calibri"/>
        <family val="2"/>
        <scheme val="minor"/>
      </rPr>
      <t>_</t>
    </r>
  </si>
  <si>
    <r>
      <t>_4__justo____</t>
    </r>
    <r>
      <rPr>
        <b/>
        <u/>
        <sz val="11"/>
        <color theme="1"/>
        <rFont val="Calibri"/>
        <family val="2"/>
        <scheme val="minor"/>
      </rPr>
      <t>__</t>
    </r>
    <r>
      <rPr>
        <u/>
        <sz val="11"/>
        <color theme="1"/>
        <rFont val="Calibri"/>
        <family val="2"/>
        <scheme val="minor"/>
      </rPr>
      <t>_</t>
    </r>
  </si>
  <si>
    <r>
      <t>_3__honesto_</t>
    </r>
    <r>
      <rPr>
        <b/>
        <u/>
        <sz val="11"/>
        <color theme="1"/>
        <rFont val="Calibri"/>
        <family val="2"/>
        <scheme val="minor"/>
      </rPr>
      <t>__</t>
    </r>
    <r>
      <rPr>
        <u/>
        <sz val="11"/>
        <color theme="1"/>
        <rFont val="Calibri"/>
        <family val="2"/>
        <scheme val="minor"/>
      </rPr>
      <t>_</t>
    </r>
  </si>
  <si>
    <t>_2__deshonesto_</t>
  </si>
  <si>
    <r>
      <t>_1__infame__</t>
    </r>
    <r>
      <rPr>
        <b/>
        <u/>
        <sz val="11"/>
        <color theme="1"/>
        <rFont val="Calibri"/>
        <family val="2"/>
        <scheme val="minor"/>
      </rPr>
      <t>__</t>
    </r>
    <r>
      <rPr>
        <u/>
        <sz val="11"/>
        <color theme="1"/>
        <rFont val="Calibri"/>
        <family val="2"/>
        <scheme val="minor"/>
      </rPr>
      <t>_</t>
    </r>
  </si>
  <si>
    <t>Agresividad</t>
  </si>
  <si>
    <r>
      <t>________________</t>
    </r>
    <r>
      <rPr>
        <b/>
        <u/>
        <sz val="11"/>
        <color theme="1"/>
        <rFont val="Calibri"/>
        <family val="2"/>
        <scheme val="minor"/>
      </rPr>
      <t>___</t>
    </r>
  </si>
  <si>
    <r>
      <t>_6__inestable____</t>
    </r>
    <r>
      <rPr>
        <b/>
        <u/>
        <sz val="11"/>
        <color theme="1"/>
        <rFont val="Calibri"/>
        <family val="2"/>
        <scheme val="minor"/>
      </rPr>
      <t>_ _</t>
    </r>
  </si>
  <si>
    <r>
      <t>_5__iracundo____</t>
    </r>
    <r>
      <rPr>
        <b/>
        <u/>
        <sz val="11"/>
        <color theme="1"/>
        <rFont val="Calibri"/>
        <family val="2"/>
        <scheme val="minor"/>
      </rPr>
      <t>___</t>
    </r>
  </si>
  <si>
    <t>_4__temperamental_</t>
  </si>
  <si>
    <r>
      <t>_3__estable_____</t>
    </r>
    <r>
      <rPr>
        <b/>
        <u/>
        <sz val="11"/>
        <color theme="1"/>
        <rFont val="Calibri"/>
        <family val="2"/>
        <scheme val="minor"/>
      </rPr>
      <t>___</t>
    </r>
  </si>
  <si>
    <r>
      <t>_2__calmado____</t>
    </r>
    <r>
      <rPr>
        <b/>
        <u/>
        <sz val="11"/>
        <color theme="1"/>
        <rFont val="Calibri"/>
        <family val="2"/>
        <scheme val="minor"/>
      </rPr>
      <t>___</t>
    </r>
  </si>
  <si>
    <r>
      <t>_1__tranquilo_____</t>
    </r>
    <r>
      <rPr>
        <b/>
        <u/>
        <sz val="11"/>
        <color theme="1"/>
        <rFont val="Calibri"/>
        <family val="2"/>
        <scheme val="minor"/>
      </rPr>
      <t>_</t>
    </r>
    <r>
      <rPr>
        <u/>
        <sz val="11"/>
        <color theme="1"/>
        <rFont val="Calibri"/>
        <family val="2"/>
        <scheme val="minor"/>
      </rPr>
      <t>_</t>
    </r>
  </si>
  <si>
    <t>Espíritu de equipo</t>
  </si>
  <si>
    <t>____________________________ _</t>
  </si>
  <si>
    <r>
      <t>_11__¡Paraíso en la Tierra!__</t>
    </r>
    <r>
      <rPr>
        <b/>
        <u/>
        <sz val="11"/>
        <color theme="1"/>
        <rFont val="Calibri"/>
        <family val="2"/>
        <scheme val="minor"/>
      </rPr>
      <t>_ _</t>
    </r>
  </si>
  <si>
    <t>_10__Caminando en las nubes_</t>
  </si>
  <si>
    <r>
      <t>_9_</t>
    </r>
    <r>
      <rPr>
        <b/>
        <u/>
        <sz val="11"/>
        <color theme="1"/>
        <rFont val="Calibri"/>
        <family val="2"/>
        <scheme val="minor"/>
      </rPr>
      <t>_</t>
    </r>
    <r>
      <rPr>
        <u/>
        <sz val="11"/>
        <color theme="1"/>
        <rFont val="Calibri"/>
        <family val="2"/>
        <scheme val="minor"/>
      </rPr>
      <t>_Eufóricos______________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</si>
  <si>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_Felices________________</t>
    </r>
    <r>
      <rPr>
        <b/>
        <u/>
        <sz val="11"/>
        <color theme="1"/>
        <rFont val="Calibri"/>
        <family val="2"/>
        <scheme val="minor"/>
      </rPr>
      <t>_</t>
    </r>
    <r>
      <rPr>
        <u/>
        <sz val="11"/>
        <color theme="1"/>
        <rFont val="Calibri"/>
        <family val="2"/>
        <scheme val="minor"/>
      </rPr>
      <t>_</t>
    </r>
  </si>
  <si>
    <r>
      <t>_7_</t>
    </r>
    <r>
      <rPr>
        <b/>
        <u/>
        <sz val="11"/>
        <color theme="1"/>
        <rFont val="Calibri"/>
        <family val="2"/>
        <scheme val="minor"/>
      </rPr>
      <t>_</t>
    </r>
    <r>
      <rPr>
        <u/>
        <sz val="11"/>
        <color theme="1"/>
        <rFont val="Calibri"/>
        <family val="2"/>
        <scheme val="minor"/>
      </rPr>
      <t>_Satisfechos___________</t>
    </r>
    <r>
      <rPr>
        <b/>
        <u/>
        <sz val="11"/>
        <color theme="1"/>
        <rFont val="Calibri"/>
        <family val="2"/>
        <scheme val="minor"/>
      </rPr>
      <t>_ _</t>
    </r>
  </si>
  <si>
    <r>
      <t>_6_</t>
    </r>
    <r>
      <rPr>
        <b/>
        <u/>
        <sz val="11"/>
        <color theme="1"/>
        <rFont val="Calibri"/>
        <family val="2"/>
        <scheme val="minor"/>
      </rPr>
      <t>_</t>
    </r>
    <r>
      <rPr>
        <u/>
        <sz val="11"/>
        <color theme="1"/>
        <rFont val="Calibri"/>
        <family val="2"/>
        <scheme val="minor"/>
      </rPr>
      <t>_Calmados_______________</t>
    </r>
  </si>
  <si>
    <r>
      <t>_5_</t>
    </r>
    <r>
      <rPr>
        <b/>
        <u/>
        <sz val="11"/>
        <color theme="1"/>
        <rFont val="Calibri"/>
        <family val="2"/>
        <scheme val="minor"/>
      </rPr>
      <t>_</t>
    </r>
    <r>
      <rPr>
        <u/>
        <sz val="11"/>
        <color theme="1"/>
        <rFont val="Calibri"/>
        <family val="2"/>
        <scheme val="minor"/>
      </rPr>
      <t>_Indiferentes_____________</t>
    </r>
  </si>
  <si>
    <r>
      <t>_4_</t>
    </r>
    <r>
      <rPr>
        <b/>
        <u/>
        <sz val="11"/>
        <color theme="1"/>
        <rFont val="Calibri"/>
        <family val="2"/>
        <scheme val="minor"/>
      </rPr>
      <t>_</t>
    </r>
    <r>
      <rPr>
        <u/>
        <sz val="11"/>
        <color theme="1"/>
        <rFont val="Calibri"/>
        <family val="2"/>
        <scheme val="minor"/>
      </rPr>
      <t>_Irritados_____________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</si>
  <si>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_Furiosos_______________ _</t>
    </r>
  </si>
  <si>
    <r>
      <t>_2_</t>
    </r>
    <r>
      <rPr>
        <b/>
        <u/>
        <sz val="11"/>
        <color theme="1"/>
        <rFont val="Calibri"/>
        <family val="2"/>
        <scheme val="minor"/>
      </rPr>
      <t>_</t>
    </r>
    <r>
      <rPr>
        <u/>
        <sz val="11"/>
        <color theme="1"/>
        <rFont val="Calibri"/>
        <family val="2"/>
        <scheme val="minor"/>
      </rPr>
      <t>_Muy agresivos_________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</si>
  <si>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_Como la Guerra Fría____ _</t>
    </r>
  </si>
  <si>
    <t>Confianza del equipo</t>
  </si>
  <si>
    <r>
      <t>______________________</t>
    </r>
    <r>
      <rPr>
        <b/>
        <u/>
        <sz val="11"/>
        <color theme="1"/>
        <rFont val="Calibri"/>
        <family val="2"/>
        <scheme val="minor"/>
      </rPr>
      <t>_</t>
    </r>
    <r>
      <rPr>
        <u/>
        <sz val="11"/>
        <color theme="1"/>
        <rFont val="Calibri"/>
        <family val="2"/>
        <scheme val="minor"/>
      </rPr>
      <t>_</t>
    </r>
  </si>
  <si>
    <t>_10__Se creen Maradona_</t>
  </si>
  <si>
    <r>
      <t>_9_</t>
    </r>
    <r>
      <rPr>
        <b/>
        <u/>
        <sz val="11"/>
        <color theme="1"/>
        <rFont val="Calibri"/>
        <family val="2"/>
        <scheme val="minor"/>
      </rPr>
      <t>_</t>
    </r>
    <r>
      <rPr>
        <u/>
        <sz val="11"/>
        <color theme="1"/>
        <rFont val="Calibri"/>
        <family val="2"/>
        <scheme val="minor"/>
      </rPr>
      <t>_Desmedida_____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</si>
  <si>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_Exagerada_________</t>
    </r>
  </si>
  <si>
    <r>
      <t>_7_</t>
    </r>
    <r>
      <rPr>
        <b/>
        <u/>
        <sz val="11"/>
        <color theme="1"/>
        <rFont val="Calibri"/>
        <family val="2"/>
        <scheme val="minor"/>
      </rPr>
      <t>_</t>
    </r>
    <r>
      <rPr>
        <u/>
        <sz val="11"/>
        <color theme="1"/>
        <rFont val="Calibri"/>
        <family val="2"/>
        <scheme val="minor"/>
      </rPr>
      <t>_Estupenda_______</t>
    </r>
    <r>
      <rPr>
        <b/>
        <u/>
        <sz val="11"/>
        <color theme="1"/>
        <rFont val="Calibri"/>
        <family val="2"/>
        <scheme val="minor"/>
      </rPr>
      <t>_</t>
    </r>
    <r>
      <rPr>
        <u/>
        <sz val="11"/>
        <color theme="1"/>
        <rFont val="Calibri"/>
        <family val="2"/>
        <scheme val="minor"/>
      </rPr>
      <t>_</t>
    </r>
  </si>
  <si>
    <r>
      <t>_6_</t>
    </r>
    <r>
      <rPr>
        <b/>
        <u/>
        <sz val="11"/>
        <color theme="1"/>
        <rFont val="Calibri"/>
        <family val="2"/>
        <scheme val="minor"/>
      </rPr>
      <t>_</t>
    </r>
    <r>
      <rPr>
        <u/>
        <sz val="11"/>
        <color theme="1"/>
        <rFont val="Calibri"/>
        <family val="2"/>
        <scheme val="minor"/>
      </rPr>
      <t>_Motivados______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</si>
  <si>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_Decente________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</si>
  <si>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_Baja____________</t>
    </r>
    <r>
      <rPr>
        <b/>
        <u/>
        <sz val="11"/>
        <color theme="1"/>
        <rFont val="Calibri"/>
        <family val="2"/>
        <scheme val="minor"/>
      </rPr>
      <t>_ _</t>
    </r>
  </si>
  <si>
    <r>
      <t>_3_</t>
    </r>
    <r>
      <rPr>
        <b/>
        <u/>
        <sz val="11"/>
        <color theme="1"/>
        <rFont val="Calibri"/>
        <family val="2"/>
        <scheme val="minor"/>
      </rPr>
      <t>_</t>
    </r>
    <r>
      <rPr>
        <u/>
        <sz val="11"/>
        <color theme="1"/>
        <rFont val="Calibri"/>
        <family val="2"/>
        <scheme val="minor"/>
      </rPr>
      <t>_Lastimosa______</t>
    </r>
    <r>
      <rPr>
        <b/>
        <u/>
        <sz val="11"/>
        <color theme="1"/>
        <rFont val="Calibri"/>
        <family val="2"/>
        <scheme val="minor"/>
      </rPr>
      <t>__</t>
    </r>
    <r>
      <rPr>
        <u/>
        <sz val="11"/>
        <color theme="1"/>
        <rFont val="Calibri"/>
        <family val="2"/>
        <scheme val="minor"/>
      </rPr>
      <t>_</t>
    </r>
  </si>
  <si>
    <r>
      <t>_2_</t>
    </r>
    <r>
      <rPr>
        <b/>
        <u/>
        <sz val="11"/>
        <color theme="1"/>
        <rFont val="Calibri"/>
        <family val="2"/>
        <scheme val="minor"/>
      </rPr>
      <t>_</t>
    </r>
    <r>
      <rPr>
        <u/>
        <sz val="11"/>
        <color theme="1"/>
        <rFont val="Calibri"/>
        <family val="2"/>
        <scheme val="minor"/>
      </rPr>
      <t>_Por el piso_________</t>
    </r>
  </si>
  <si>
    <r>
      <t>_1_</t>
    </r>
    <r>
      <rPr>
        <b/>
        <u/>
        <sz val="11"/>
        <color theme="1"/>
        <rFont val="Calibri"/>
        <family val="2"/>
        <scheme val="minor"/>
      </rPr>
      <t>_</t>
    </r>
    <r>
      <rPr>
        <u/>
        <sz val="11"/>
        <color theme="1"/>
        <rFont val="Calibri"/>
        <family val="2"/>
        <scheme val="minor"/>
      </rPr>
      <t>_Inexistente______</t>
    </r>
    <r>
      <rPr>
        <b/>
        <u/>
        <sz val="11"/>
        <color theme="1"/>
        <rFont val="Calibri"/>
        <family val="2"/>
        <scheme val="minor"/>
      </rPr>
      <t>_</t>
    </r>
    <r>
      <rPr>
        <u/>
        <sz val="11"/>
        <color theme="1"/>
        <rFont val="Calibri"/>
        <family val="2"/>
        <scheme val="minor"/>
      </rPr>
      <t>_</t>
    </r>
  </si>
  <si>
    <t>Calificaciones de Partido</t>
  </si>
  <si>
    <r>
      <t>________________________________</t>
    </r>
    <r>
      <rPr>
        <b/>
        <u/>
        <sz val="11"/>
        <color theme="1"/>
        <rFont val="Calibri"/>
        <family val="2"/>
        <scheme val="minor"/>
      </rPr>
      <t>_ _</t>
    </r>
  </si>
  <si>
    <r>
      <t>_19,75__20,00__divino (ma)_____</t>
    </r>
    <r>
      <rPr>
        <b/>
        <u/>
        <sz val="11"/>
        <color theme="1"/>
        <rFont val="Calibri"/>
        <family val="2"/>
        <scheme val="minor"/>
      </rPr>
      <t>__</t>
    </r>
    <r>
      <rPr>
        <u/>
        <sz val="11"/>
        <color theme="1"/>
        <rFont val="Calibri"/>
        <family val="2"/>
        <scheme val="minor"/>
      </rPr>
      <t>_</t>
    </r>
  </si>
  <si>
    <r>
      <t>_19,50__19,75__divino (a)________</t>
    </r>
    <r>
      <rPr>
        <b/>
        <u/>
        <sz val="11"/>
        <color theme="1"/>
        <rFont val="Calibri"/>
        <family val="2"/>
        <scheme val="minor"/>
      </rPr>
      <t>_</t>
    </r>
    <r>
      <rPr>
        <u/>
        <sz val="11"/>
        <color theme="1"/>
        <rFont val="Calibri"/>
        <family val="2"/>
        <scheme val="minor"/>
      </rPr>
      <t>_</t>
    </r>
  </si>
  <si>
    <r>
      <t>_19,25__19,50__divino (b)________</t>
    </r>
    <r>
      <rPr>
        <b/>
        <u/>
        <sz val="11"/>
        <color theme="1"/>
        <rFont val="Calibri"/>
        <family val="2"/>
        <scheme val="minor"/>
      </rPr>
      <t>_</t>
    </r>
    <r>
      <rPr>
        <u/>
        <sz val="11"/>
        <color theme="1"/>
        <rFont val="Calibri"/>
        <family val="2"/>
        <scheme val="minor"/>
      </rPr>
      <t>_</t>
    </r>
  </si>
  <si>
    <r>
      <t>_19,00__19,25__divino (mb)_____</t>
    </r>
    <r>
      <rPr>
        <b/>
        <u/>
        <sz val="11"/>
        <color theme="1"/>
        <rFont val="Calibri"/>
        <family val="2"/>
        <scheme val="minor"/>
      </rPr>
      <t>__</t>
    </r>
    <r>
      <rPr>
        <u/>
        <sz val="11"/>
        <color theme="1"/>
        <rFont val="Calibri"/>
        <family val="2"/>
        <scheme val="minor"/>
      </rPr>
      <t>_</t>
    </r>
  </si>
  <si>
    <r>
      <t>_18,75__19,00__utópico (ma)_____</t>
    </r>
    <r>
      <rPr>
        <b/>
        <u/>
        <sz val="11"/>
        <color theme="1"/>
        <rFont val="Calibri"/>
        <family val="2"/>
        <scheme val="minor"/>
      </rPr>
      <t>_</t>
    </r>
    <r>
      <rPr>
        <u/>
        <sz val="11"/>
        <color theme="1"/>
        <rFont val="Calibri"/>
        <family val="2"/>
        <scheme val="minor"/>
      </rPr>
      <t>_</t>
    </r>
  </si>
  <si>
    <t>_18,50__18,75__utópico (a)_________</t>
  </si>
  <si>
    <t>_18,25__18,50__utópico (b)_________</t>
  </si>
  <si>
    <r>
      <t>_18,00__18,25__utópico (mb)_____</t>
    </r>
    <r>
      <rPr>
        <b/>
        <u/>
        <sz val="11"/>
        <color theme="1"/>
        <rFont val="Calibri"/>
        <family val="2"/>
        <scheme val="minor"/>
      </rPr>
      <t>_</t>
    </r>
    <r>
      <rPr>
        <u/>
        <sz val="11"/>
        <color theme="1"/>
        <rFont val="Calibri"/>
        <family val="2"/>
        <scheme val="minor"/>
      </rPr>
      <t>_</t>
    </r>
  </si>
  <si>
    <r>
      <t>_17,75__18,00__mágico (ma)_____</t>
    </r>
    <r>
      <rPr>
        <b/>
        <u/>
        <sz val="11"/>
        <color theme="1"/>
        <rFont val="Calibri"/>
        <family val="2"/>
        <scheme val="minor"/>
      </rPr>
      <t>_</t>
    </r>
    <r>
      <rPr>
        <u/>
        <sz val="11"/>
        <color theme="1"/>
        <rFont val="Calibri"/>
        <family val="2"/>
        <scheme val="minor"/>
      </rPr>
      <t>_</t>
    </r>
  </si>
  <si>
    <t>_17,50__17,75__mágico (a)_________</t>
  </si>
  <si>
    <t>_17,25__17,50__mágico (b)_________</t>
  </si>
  <si>
    <r>
      <t>_17,00__17,25__mágico (mb)_____</t>
    </r>
    <r>
      <rPr>
        <b/>
        <u/>
        <sz val="11"/>
        <color theme="1"/>
        <rFont val="Calibri"/>
        <family val="2"/>
        <scheme val="minor"/>
      </rPr>
      <t>_</t>
    </r>
    <r>
      <rPr>
        <u/>
        <sz val="11"/>
        <color theme="1"/>
        <rFont val="Calibri"/>
        <family val="2"/>
        <scheme val="minor"/>
      </rPr>
      <t>_</t>
    </r>
  </si>
  <si>
    <r>
      <t>_16,75__17,00__mítico (ma)_____</t>
    </r>
    <r>
      <rPr>
        <b/>
        <u/>
        <sz val="11"/>
        <color theme="1"/>
        <rFont val="Calibri"/>
        <family val="2"/>
        <scheme val="minor"/>
      </rPr>
      <t>__</t>
    </r>
    <r>
      <rPr>
        <u/>
        <sz val="11"/>
        <color theme="1"/>
        <rFont val="Calibri"/>
        <family val="2"/>
        <scheme val="minor"/>
      </rPr>
      <t>_</t>
    </r>
  </si>
  <si>
    <r>
      <t>_16,50__16,75__mítico (a)________</t>
    </r>
    <r>
      <rPr>
        <b/>
        <u/>
        <sz val="11"/>
        <color theme="1"/>
        <rFont val="Calibri"/>
        <family val="2"/>
        <scheme val="minor"/>
      </rPr>
      <t>_</t>
    </r>
    <r>
      <rPr>
        <u/>
        <sz val="11"/>
        <color theme="1"/>
        <rFont val="Calibri"/>
        <family val="2"/>
        <scheme val="minor"/>
      </rPr>
      <t>_</t>
    </r>
  </si>
  <si>
    <r>
      <t>_16,25__16,50__mítico (b)________</t>
    </r>
    <r>
      <rPr>
        <b/>
        <u/>
        <sz val="11"/>
        <color theme="1"/>
        <rFont val="Calibri"/>
        <family val="2"/>
        <scheme val="minor"/>
      </rPr>
      <t>_</t>
    </r>
    <r>
      <rPr>
        <u/>
        <sz val="11"/>
        <color theme="1"/>
        <rFont val="Calibri"/>
        <family val="2"/>
        <scheme val="minor"/>
      </rPr>
      <t>_</t>
    </r>
  </si>
  <si>
    <r>
      <t>_16,00__16,25__mítico (mb)_____</t>
    </r>
    <r>
      <rPr>
        <b/>
        <u/>
        <sz val="11"/>
        <color theme="1"/>
        <rFont val="Calibri"/>
        <family val="2"/>
        <scheme val="minor"/>
      </rPr>
      <t>__</t>
    </r>
    <r>
      <rPr>
        <u/>
        <sz val="11"/>
        <color theme="1"/>
        <rFont val="Calibri"/>
        <family val="2"/>
        <scheme val="minor"/>
      </rPr>
      <t>_</t>
    </r>
  </si>
  <si>
    <r>
      <t>_15,75__16,00__extraterrestre (ma)</t>
    </r>
    <r>
      <rPr>
        <b/>
        <u/>
        <sz val="11"/>
        <color theme="1"/>
        <rFont val="Calibri"/>
        <family val="2"/>
        <scheme val="minor"/>
      </rPr>
      <t>_</t>
    </r>
  </si>
  <si>
    <t>_15,50__15,75__extraterrestre (a)___</t>
  </si>
  <si>
    <t>_15,25__15,50__extraterrestre (b)___</t>
  </si>
  <si>
    <r>
      <t>_15,00__15,25__extraterrestre (mb)</t>
    </r>
    <r>
      <rPr>
        <b/>
        <u/>
        <sz val="11"/>
        <color theme="1"/>
        <rFont val="Calibri"/>
        <family val="2"/>
        <scheme val="minor"/>
      </rPr>
      <t>_</t>
    </r>
  </si>
  <si>
    <r>
      <t>_14,75__15,00__titánico muy (a)_</t>
    </r>
    <r>
      <rPr>
        <b/>
        <u/>
        <sz val="11"/>
        <color theme="1"/>
        <rFont val="Calibri"/>
        <family val="2"/>
        <scheme val="minor"/>
      </rPr>
      <t>__</t>
    </r>
    <r>
      <rPr>
        <u/>
        <sz val="11"/>
        <color theme="1"/>
        <rFont val="Calibri"/>
        <family val="2"/>
        <scheme val="minor"/>
      </rPr>
      <t>_</t>
    </r>
  </si>
  <si>
    <t>_14,50__14,75__titánico (a)_________</t>
  </si>
  <si>
    <t>_14,25__14,50__titánico (b)_________</t>
  </si>
  <si>
    <r>
      <t>_14,00__14,25__titánico (mb)_____</t>
    </r>
    <r>
      <rPr>
        <b/>
        <u/>
        <sz val="11"/>
        <color theme="1"/>
        <rFont val="Calibri"/>
        <family val="2"/>
        <scheme val="minor"/>
      </rPr>
      <t>_</t>
    </r>
    <r>
      <rPr>
        <u/>
        <sz val="11"/>
        <color theme="1"/>
        <rFont val="Calibri"/>
        <family val="2"/>
        <scheme val="minor"/>
      </rPr>
      <t>_</t>
    </r>
  </si>
  <si>
    <r>
      <t>_13,75__14,00__sobrenatural (ma)_</t>
    </r>
    <r>
      <rPr>
        <b/>
        <u/>
        <sz val="11"/>
        <color theme="1"/>
        <rFont val="Calibri"/>
        <family val="2"/>
        <scheme val="minor"/>
      </rPr>
      <t>_</t>
    </r>
  </si>
  <si>
    <t>_13,50__13,75__sobrenatural (a)____</t>
  </si>
  <si>
    <t>_13,25__13,50__sobrenatural (b)____</t>
  </si>
  <si>
    <r>
      <t>_13,00__13,25__sobrenatural (mb)_</t>
    </r>
    <r>
      <rPr>
        <b/>
        <u/>
        <sz val="11"/>
        <color theme="1"/>
        <rFont val="Calibri"/>
        <family val="2"/>
        <scheme val="minor"/>
      </rPr>
      <t>_</t>
    </r>
  </si>
  <si>
    <t>_12,75__13,00__clase mundial (ma)_</t>
  </si>
  <si>
    <r>
      <t>_12,50__12,75__clase mundial (a)</t>
    </r>
    <r>
      <rPr>
        <b/>
        <u/>
        <sz val="11"/>
        <color theme="1"/>
        <rFont val="Calibri"/>
        <family val="2"/>
        <scheme val="minor"/>
      </rPr>
      <t>_ _</t>
    </r>
  </si>
  <si>
    <r>
      <t>_12,25__12,50__clase mundial (b)</t>
    </r>
    <r>
      <rPr>
        <b/>
        <u/>
        <sz val="11"/>
        <color theme="1"/>
        <rFont val="Calibri"/>
        <family val="2"/>
        <scheme val="minor"/>
      </rPr>
      <t>_ _</t>
    </r>
  </si>
  <si>
    <t>_12,00__12,25__clase mundial (mb)_</t>
  </si>
  <si>
    <r>
      <t>_11,75__12,00__magnífico (ma)__</t>
    </r>
    <r>
      <rPr>
        <b/>
        <u/>
        <sz val="11"/>
        <color theme="1"/>
        <rFont val="Calibri"/>
        <family val="2"/>
        <scheme val="minor"/>
      </rPr>
      <t>_ _</t>
    </r>
  </si>
  <si>
    <t>_11,50__11,75__magnífico (a)_____ _</t>
  </si>
  <si>
    <t>_11,25__11,50__magnífico (b)_____ _</t>
  </si>
  <si>
    <r>
      <t>_11,00__11,25__magnífico (mb)__</t>
    </r>
    <r>
      <rPr>
        <b/>
        <u/>
        <sz val="11"/>
        <color theme="1"/>
        <rFont val="Calibri"/>
        <family val="2"/>
        <scheme val="minor"/>
      </rPr>
      <t>_ _</t>
    </r>
  </si>
  <si>
    <r>
      <t>_10,75__11,00__brillante (ma)___</t>
    </r>
    <r>
      <rPr>
        <b/>
        <u/>
        <sz val="11"/>
        <color theme="1"/>
        <rFont val="Calibri"/>
        <family val="2"/>
        <scheme val="minor"/>
      </rPr>
      <t>__</t>
    </r>
    <r>
      <rPr>
        <u/>
        <sz val="11"/>
        <color theme="1"/>
        <rFont val="Calibri"/>
        <family val="2"/>
        <scheme val="minor"/>
      </rPr>
      <t>_</t>
    </r>
  </si>
  <si>
    <r>
      <t>_10,50__10,75__brillante (a)______</t>
    </r>
    <r>
      <rPr>
        <b/>
        <u/>
        <sz val="11"/>
        <color theme="1"/>
        <rFont val="Calibri"/>
        <family val="2"/>
        <scheme val="minor"/>
      </rPr>
      <t>_</t>
    </r>
    <r>
      <rPr>
        <u/>
        <sz val="11"/>
        <color theme="1"/>
        <rFont val="Calibri"/>
        <family val="2"/>
        <scheme val="minor"/>
      </rPr>
      <t>_</t>
    </r>
  </si>
  <si>
    <r>
      <t>_10,25__10,50__brillante (b)______</t>
    </r>
    <r>
      <rPr>
        <b/>
        <u/>
        <sz val="11"/>
        <color theme="1"/>
        <rFont val="Calibri"/>
        <family val="2"/>
        <scheme val="minor"/>
      </rPr>
      <t>_</t>
    </r>
    <r>
      <rPr>
        <u/>
        <sz val="11"/>
        <color theme="1"/>
        <rFont val="Calibri"/>
        <family val="2"/>
        <scheme val="minor"/>
      </rPr>
      <t>_</t>
    </r>
  </si>
  <si>
    <r>
      <t>_10,00__10,25__brillante (mb)___</t>
    </r>
    <r>
      <rPr>
        <b/>
        <u/>
        <sz val="11"/>
        <color theme="1"/>
        <rFont val="Calibri"/>
        <family val="2"/>
        <scheme val="minor"/>
      </rPr>
      <t>__</t>
    </r>
    <r>
      <rPr>
        <u/>
        <sz val="11"/>
        <color theme="1"/>
        <rFont val="Calibri"/>
        <family val="2"/>
        <scheme val="minor"/>
      </rPr>
      <t>_</t>
    </r>
  </si>
  <si>
    <t>_9,75__10,00__destacado (ma)__</t>
  </si>
  <si>
    <r>
      <t>_9,50__9,75_</t>
    </r>
    <r>
      <rPr>
        <b/>
        <u/>
        <sz val="11"/>
        <color theme="1"/>
        <rFont val="Calibri"/>
        <family val="2"/>
        <scheme val="minor"/>
      </rPr>
      <t>_</t>
    </r>
    <r>
      <rPr>
        <u/>
        <sz val="11"/>
        <color theme="1"/>
        <rFont val="Calibri"/>
        <family val="2"/>
        <scheme val="minor"/>
      </rPr>
      <t>_destacado (a)_</t>
    </r>
    <r>
      <rPr>
        <b/>
        <u/>
        <sz val="11"/>
        <color theme="1"/>
        <rFont val="Calibri"/>
        <family val="2"/>
        <scheme val="minor"/>
      </rPr>
      <t>_ _</t>
    </r>
  </si>
  <si>
    <r>
      <t>_9,25__9,50_</t>
    </r>
    <r>
      <rPr>
        <b/>
        <u/>
        <sz val="11"/>
        <color theme="1"/>
        <rFont val="Calibri"/>
        <family val="2"/>
        <scheme val="minor"/>
      </rPr>
      <t>_</t>
    </r>
    <r>
      <rPr>
        <u/>
        <sz val="11"/>
        <color theme="1"/>
        <rFont val="Calibri"/>
        <family val="2"/>
        <scheme val="minor"/>
      </rPr>
      <t>_destacado (b)_</t>
    </r>
    <r>
      <rPr>
        <b/>
        <u/>
        <sz val="11"/>
        <color theme="1"/>
        <rFont val="Calibri"/>
        <family val="2"/>
        <scheme val="minor"/>
      </rPr>
      <t>_ _</t>
    </r>
  </si>
  <si>
    <r>
      <t>_9,00__9,25_</t>
    </r>
    <r>
      <rPr>
        <b/>
        <u/>
        <sz val="11"/>
        <color theme="1"/>
        <rFont val="Calibri"/>
        <family val="2"/>
        <scheme val="minor"/>
      </rPr>
      <t>_</t>
    </r>
    <r>
      <rPr>
        <u/>
        <sz val="11"/>
        <color theme="1"/>
        <rFont val="Calibri"/>
        <family val="2"/>
        <scheme val="minor"/>
      </rPr>
      <t>_destacado (mb)__</t>
    </r>
  </si>
  <si>
    <r>
      <t>_8,75__9,00_</t>
    </r>
    <r>
      <rPr>
        <b/>
        <u/>
        <sz val="11"/>
        <color theme="1"/>
        <rFont val="Calibri"/>
        <family val="2"/>
        <scheme val="minor"/>
      </rPr>
      <t>_</t>
    </r>
    <r>
      <rPr>
        <u/>
        <sz val="11"/>
        <color theme="1"/>
        <rFont val="Calibri"/>
        <family val="2"/>
        <scheme val="minor"/>
      </rPr>
      <t>_formidable (ma)_</t>
    </r>
    <r>
      <rPr>
        <b/>
        <u/>
        <sz val="11"/>
        <color theme="1"/>
        <rFont val="Calibri"/>
        <family val="2"/>
        <scheme val="minor"/>
      </rPr>
      <t xml:space="preserve"> </t>
    </r>
  </si>
  <si>
    <r>
      <t>_8,50__8,75_</t>
    </r>
    <r>
      <rPr>
        <b/>
        <u/>
        <sz val="11"/>
        <color theme="1"/>
        <rFont val="Calibri"/>
        <family val="2"/>
        <scheme val="minor"/>
      </rPr>
      <t>_</t>
    </r>
    <r>
      <rPr>
        <u/>
        <sz val="11"/>
        <color theme="1"/>
        <rFont val="Calibri"/>
        <family val="2"/>
        <scheme val="minor"/>
      </rPr>
      <t>_formidable (a)</t>
    </r>
    <r>
      <rPr>
        <b/>
        <u/>
        <sz val="11"/>
        <color theme="1"/>
        <rFont val="Calibri"/>
        <family val="2"/>
        <scheme val="minor"/>
      </rPr>
      <t>__</t>
    </r>
    <r>
      <rPr>
        <u/>
        <sz val="11"/>
        <color theme="1"/>
        <rFont val="Calibri"/>
        <family val="2"/>
        <scheme val="minor"/>
      </rPr>
      <t>_</t>
    </r>
  </si>
  <si>
    <r>
      <t>_8,25__8,50_</t>
    </r>
    <r>
      <rPr>
        <b/>
        <u/>
        <sz val="11"/>
        <color theme="1"/>
        <rFont val="Calibri"/>
        <family val="2"/>
        <scheme val="minor"/>
      </rPr>
      <t>_</t>
    </r>
    <r>
      <rPr>
        <u/>
        <sz val="11"/>
        <color theme="1"/>
        <rFont val="Calibri"/>
        <family val="2"/>
        <scheme val="minor"/>
      </rPr>
      <t>_formidable (b)</t>
    </r>
    <r>
      <rPr>
        <b/>
        <u/>
        <sz val="11"/>
        <color theme="1"/>
        <rFont val="Calibri"/>
        <family val="2"/>
        <scheme val="minor"/>
      </rPr>
      <t>__</t>
    </r>
    <r>
      <rPr>
        <u/>
        <sz val="11"/>
        <color theme="1"/>
        <rFont val="Calibri"/>
        <family val="2"/>
        <scheme val="minor"/>
      </rPr>
      <t>_</t>
    </r>
  </si>
  <si>
    <r>
      <t>_8,00__8,25_</t>
    </r>
    <r>
      <rPr>
        <b/>
        <u/>
        <sz val="11"/>
        <color theme="1"/>
        <rFont val="Calibri"/>
        <family val="2"/>
        <scheme val="minor"/>
      </rPr>
      <t>_</t>
    </r>
    <r>
      <rPr>
        <u/>
        <sz val="11"/>
        <color theme="1"/>
        <rFont val="Calibri"/>
        <family val="2"/>
        <scheme val="minor"/>
      </rPr>
      <t>_formidable (mb)_</t>
    </r>
    <r>
      <rPr>
        <b/>
        <u/>
        <sz val="11"/>
        <color theme="1"/>
        <rFont val="Calibri"/>
        <family val="2"/>
        <scheme val="minor"/>
      </rPr>
      <t xml:space="preserve"> </t>
    </r>
  </si>
  <si>
    <r>
      <t>_7,75__8,00_</t>
    </r>
    <r>
      <rPr>
        <b/>
        <u/>
        <sz val="11"/>
        <color theme="1"/>
        <rFont val="Calibri"/>
        <family val="2"/>
        <scheme val="minor"/>
      </rPr>
      <t>_</t>
    </r>
    <r>
      <rPr>
        <u/>
        <sz val="11"/>
        <color theme="1"/>
        <rFont val="Calibri"/>
        <family val="2"/>
        <scheme val="minor"/>
      </rPr>
      <t>_excelente (ma)_</t>
    </r>
    <r>
      <rPr>
        <b/>
        <u/>
        <sz val="11"/>
        <color theme="1"/>
        <rFont val="Calibri"/>
        <family val="2"/>
        <scheme val="minor"/>
      </rPr>
      <t xml:space="preserve"> </t>
    </r>
    <r>
      <rPr>
        <u/>
        <sz val="11"/>
        <color theme="1"/>
        <rFont val="Calibri"/>
        <family val="2"/>
        <scheme val="minor"/>
      </rPr>
      <t>_</t>
    </r>
  </si>
  <si>
    <r>
      <t>_7,50__7,75_</t>
    </r>
    <r>
      <rPr>
        <b/>
        <u/>
        <sz val="11"/>
        <color theme="1"/>
        <rFont val="Calibri"/>
        <family val="2"/>
        <scheme val="minor"/>
      </rPr>
      <t>_</t>
    </r>
    <r>
      <rPr>
        <u/>
        <sz val="11"/>
        <color theme="1"/>
        <rFont val="Calibri"/>
        <family val="2"/>
        <scheme val="minor"/>
      </rPr>
      <t>_excelente (a)_</t>
    </r>
    <r>
      <rPr>
        <b/>
        <u/>
        <sz val="11"/>
        <color theme="1"/>
        <rFont val="Calibri"/>
        <family val="2"/>
        <scheme val="minor"/>
      </rPr>
      <t>__</t>
    </r>
    <r>
      <rPr>
        <u/>
        <sz val="11"/>
        <color theme="1"/>
        <rFont val="Calibri"/>
        <family val="2"/>
        <scheme val="minor"/>
      </rPr>
      <t>_</t>
    </r>
  </si>
  <si>
    <r>
      <t>_7,25__7,50_</t>
    </r>
    <r>
      <rPr>
        <b/>
        <u/>
        <sz val="11"/>
        <color theme="1"/>
        <rFont val="Calibri"/>
        <family val="2"/>
        <scheme val="minor"/>
      </rPr>
      <t>_</t>
    </r>
    <r>
      <rPr>
        <u/>
        <sz val="11"/>
        <color theme="1"/>
        <rFont val="Calibri"/>
        <family val="2"/>
        <scheme val="minor"/>
      </rPr>
      <t>_excelente (b)_</t>
    </r>
    <r>
      <rPr>
        <b/>
        <u/>
        <sz val="11"/>
        <color theme="1"/>
        <rFont val="Calibri"/>
        <family val="2"/>
        <scheme val="minor"/>
      </rPr>
      <t>__</t>
    </r>
    <r>
      <rPr>
        <u/>
        <sz val="11"/>
        <color theme="1"/>
        <rFont val="Calibri"/>
        <family val="2"/>
        <scheme val="minor"/>
      </rPr>
      <t>_</t>
    </r>
  </si>
  <si>
    <r>
      <t>_7,00__7,25_</t>
    </r>
    <r>
      <rPr>
        <b/>
        <u/>
        <sz val="11"/>
        <color theme="1"/>
        <rFont val="Calibri"/>
        <family val="2"/>
        <scheme val="minor"/>
      </rPr>
      <t>_</t>
    </r>
    <r>
      <rPr>
        <u/>
        <sz val="11"/>
        <color theme="1"/>
        <rFont val="Calibri"/>
        <family val="2"/>
        <scheme val="minor"/>
      </rPr>
      <t>_excelente (mb)_</t>
    </r>
    <r>
      <rPr>
        <b/>
        <u/>
        <sz val="11"/>
        <color theme="1"/>
        <rFont val="Calibri"/>
        <family val="2"/>
        <scheme val="minor"/>
      </rPr>
      <t xml:space="preserve"> </t>
    </r>
    <r>
      <rPr>
        <u/>
        <sz val="11"/>
        <color theme="1"/>
        <rFont val="Calibri"/>
        <family val="2"/>
        <scheme val="minor"/>
      </rPr>
      <t>_</t>
    </r>
  </si>
  <si>
    <r>
      <t>_6,75__7,00_</t>
    </r>
    <r>
      <rPr>
        <b/>
        <u/>
        <sz val="11"/>
        <color theme="1"/>
        <rFont val="Calibri"/>
        <family val="2"/>
        <scheme val="minor"/>
      </rPr>
      <t>_</t>
    </r>
    <r>
      <rPr>
        <u/>
        <sz val="11"/>
        <color theme="1"/>
        <rFont val="Calibri"/>
        <family val="2"/>
        <scheme val="minor"/>
      </rPr>
      <t>_bueno (ma)____ _</t>
    </r>
  </si>
  <si>
    <r>
      <t>_6,50__6,75_</t>
    </r>
    <r>
      <rPr>
        <b/>
        <u/>
        <sz val="11"/>
        <color theme="1"/>
        <rFont val="Calibri"/>
        <family val="2"/>
        <scheme val="minor"/>
      </rPr>
      <t>_</t>
    </r>
    <r>
      <rPr>
        <u/>
        <sz val="11"/>
        <color theme="1"/>
        <rFont val="Calibri"/>
        <family val="2"/>
        <scheme val="minor"/>
      </rPr>
      <t>_bueno (a)____</t>
    </r>
    <r>
      <rPr>
        <b/>
        <u/>
        <sz val="11"/>
        <color theme="1"/>
        <rFont val="Calibri"/>
        <family val="2"/>
        <scheme val="minor"/>
      </rPr>
      <t>___</t>
    </r>
  </si>
  <si>
    <r>
      <t>_6,25__6,50_</t>
    </r>
    <r>
      <rPr>
        <b/>
        <u/>
        <sz val="11"/>
        <color theme="1"/>
        <rFont val="Calibri"/>
        <family val="2"/>
        <scheme val="minor"/>
      </rPr>
      <t>_</t>
    </r>
    <r>
      <rPr>
        <u/>
        <sz val="11"/>
        <color theme="1"/>
        <rFont val="Calibri"/>
        <family val="2"/>
        <scheme val="minor"/>
      </rPr>
      <t>_bueno (b)____</t>
    </r>
    <r>
      <rPr>
        <b/>
        <u/>
        <sz val="11"/>
        <color theme="1"/>
        <rFont val="Calibri"/>
        <family val="2"/>
        <scheme val="minor"/>
      </rPr>
      <t>___</t>
    </r>
  </si>
  <si>
    <r>
      <t>_6,00__6,25_</t>
    </r>
    <r>
      <rPr>
        <b/>
        <u/>
        <sz val="11"/>
        <color theme="1"/>
        <rFont val="Calibri"/>
        <family val="2"/>
        <scheme val="minor"/>
      </rPr>
      <t>_</t>
    </r>
    <r>
      <rPr>
        <u/>
        <sz val="11"/>
        <color theme="1"/>
        <rFont val="Calibri"/>
        <family val="2"/>
        <scheme val="minor"/>
      </rPr>
      <t>_bueno (mb)____ _</t>
    </r>
  </si>
  <si>
    <r>
      <t>_5,75__6,00_</t>
    </r>
    <r>
      <rPr>
        <b/>
        <u/>
        <sz val="11"/>
        <color theme="1"/>
        <rFont val="Calibri"/>
        <family val="2"/>
        <scheme val="minor"/>
      </rPr>
      <t>_</t>
    </r>
    <r>
      <rPr>
        <u/>
        <sz val="11"/>
        <color theme="1"/>
        <rFont val="Calibri"/>
        <family val="2"/>
        <scheme val="minor"/>
      </rPr>
      <t>_aceptable (ma)_</t>
    </r>
    <r>
      <rPr>
        <b/>
        <u/>
        <sz val="11"/>
        <color theme="1"/>
        <rFont val="Calibri"/>
        <family val="2"/>
        <scheme val="minor"/>
      </rPr>
      <t xml:space="preserve"> </t>
    </r>
    <r>
      <rPr>
        <u/>
        <sz val="11"/>
        <color theme="1"/>
        <rFont val="Calibri"/>
        <family val="2"/>
        <scheme val="minor"/>
      </rPr>
      <t>_</t>
    </r>
  </si>
  <si>
    <r>
      <t>_5,50__5,75_</t>
    </r>
    <r>
      <rPr>
        <b/>
        <u/>
        <sz val="11"/>
        <color theme="1"/>
        <rFont val="Calibri"/>
        <family val="2"/>
        <scheme val="minor"/>
      </rPr>
      <t>_</t>
    </r>
    <r>
      <rPr>
        <u/>
        <sz val="11"/>
        <color theme="1"/>
        <rFont val="Calibri"/>
        <family val="2"/>
        <scheme val="minor"/>
      </rPr>
      <t>_aceptable (a)_</t>
    </r>
    <r>
      <rPr>
        <b/>
        <u/>
        <sz val="11"/>
        <color theme="1"/>
        <rFont val="Calibri"/>
        <family val="2"/>
        <scheme val="minor"/>
      </rPr>
      <t>__</t>
    </r>
    <r>
      <rPr>
        <u/>
        <sz val="11"/>
        <color theme="1"/>
        <rFont val="Calibri"/>
        <family val="2"/>
        <scheme val="minor"/>
      </rPr>
      <t>_</t>
    </r>
  </si>
  <si>
    <r>
      <t>_5,25__5,50_</t>
    </r>
    <r>
      <rPr>
        <b/>
        <u/>
        <sz val="11"/>
        <color theme="1"/>
        <rFont val="Calibri"/>
        <family val="2"/>
        <scheme val="minor"/>
      </rPr>
      <t>_</t>
    </r>
    <r>
      <rPr>
        <u/>
        <sz val="11"/>
        <color theme="1"/>
        <rFont val="Calibri"/>
        <family val="2"/>
        <scheme val="minor"/>
      </rPr>
      <t>_aceptable (b)_</t>
    </r>
    <r>
      <rPr>
        <b/>
        <u/>
        <sz val="11"/>
        <color theme="1"/>
        <rFont val="Calibri"/>
        <family val="2"/>
        <scheme val="minor"/>
      </rPr>
      <t>__</t>
    </r>
    <r>
      <rPr>
        <u/>
        <sz val="11"/>
        <color theme="1"/>
        <rFont val="Calibri"/>
        <family val="2"/>
        <scheme val="minor"/>
      </rPr>
      <t>_</t>
    </r>
  </si>
  <si>
    <r>
      <t>_5,00__5,25_</t>
    </r>
    <r>
      <rPr>
        <b/>
        <u/>
        <sz val="11"/>
        <color theme="1"/>
        <rFont val="Calibri"/>
        <family val="2"/>
        <scheme val="minor"/>
      </rPr>
      <t>_</t>
    </r>
    <r>
      <rPr>
        <u/>
        <sz val="11"/>
        <color theme="1"/>
        <rFont val="Calibri"/>
        <family val="2"/>
        <scheme val="minor"/>
      </rPr>
      <t>_aceptable (mb)_</t>
    </r>
    <r>
      <rPr>
        <b/>
        <u/>
        <sz val="11"/>
        <color theme="1"/>
        <rFont val="Calibri"/>
        <family val="2"/>
        <scheme val="minor"/>
      </rPr>
      <t xml:space="preserve"> </t>
    </r>
    <r>
      <rPr>
        <u/>
        <sz val="11"/>
        <color theme="1"/>
        <rFont val="Calibri"/>
        <family val="2"/>
        <scheme val="minor"/>
      </rPr>
      <t>_</t>
    </r>
  </si>
  <si>
    <r>
      <t>_4,75__5,00_</t>
    </r>
    <r>
      <rPr>
        <b/>
        <u/>
        <sz val="11"/>
        <color theme="1"/>
        <rFont val="Calibri"/>
        <family val="2"/>
        <scheme val="minor"/>
      </rPr>
      <t>_</t>
    </r>
    <r>
      <rPr>
        <u/>
        <sz val="11"/>
        <color theme="1"/>
        <rFont val="Calibri"/>
        <family val="2"/>
        <scheme val="minor"/>
      </rPr>
      <t>_insuficiente (ma)_</t>
    </r>
  </si>
  <si>
    <r>
      <t>_4,50__4,75_</t>
    </r>
    <r>
      <rPr>
        <b/>
        <u/>
        <sz val="11"/>
        <color theme="1"/>
        <rFont val="Calibri"/>
        <family val="2"/>
        <scheme val="minor"/>
      </rPr>
      <t>_</t>
    </r>
    <r>
      <rPr>
        <u/>
        <sz val="11"/>
        <color theme="1"/>
        <rFont val="Calibri"/>
        <family val="2"/>
        <scheme val="minor"/>
      </rPr>
      <t>_insuficiente (a)</t>
    </r>
    <r>
      <rPr>
        <b/>
        <u/>
        <sz val="11"/>
        <color theme="1"/>
        <rFont val="Calibri"/>
        <family val="2"/>
        <scheme val="minor"/>
      </rPr>
      <t>_ _</t>
    </r>
  </si>
  <si>
    <r>
      <t>_4,25__4,50_</t>
    </r>
    <r>
      <rPr>
        <b/>
        <u/>
        <sz val="11"/>
        <color theme="1"/>
        <rFont val="Calibri"/>
        <family val="2"/>
        <scheme val="minor"/>
      </rPr>
      <t>_</t>
    </r>
    <r>
      <rPr>
        <u/>
        <sz val="11"/>
        <color theme="1"/>
        <rFont val="Calibri"/>
        <family val="2"/>
        <scheme val="minor"/>
      </rPr>
      <t>_insuficiente (b)</t>
    </r>
    <r>
      <rPr>
        <b/>
        <u/>
        <sz val="11"/>
        <color theme="1"/>
        <rFont val="Calibri"/>
        <family val="2"/>
        <scheme val="minor"/>
      </rPr>
      <t>_ _</t>
    </r>
  </si>
  <si>
    <r>
      <t>_4,00__4,25_</t>
    </r>
    <r>
      <rPr>
        <b/>
        <u/>
        <sz val="11"/>
        <color theme="1"/>
        <rFont val="Calibri"/>
        <family val="2"/>
        <scheme val="minor"/>
      </rPr>
      <t>_</t>
    </r>
    <r>
      <rPr>
        <u/>
        <sz val="11"/>
        <color theme="1"/>
        <rFont val="Calibri"/>
        <family val="2"/>
        <scheme val="minor"/>
      </rPr>
      <t>_insuficiente (mb)_</t>
    </r>
  </si>
  <si>
    <r>
      <t>_3,75__4,00_</t>
    </r>
    <r>
      <rPr>
        <b/>
        <u/>
        <sz val="11"/>
        <color theme="1"/>
        <rFont val="Calibri"/>
        <family val="2"/>
        <scheme val="minor"/>
      </rPr>
      <t>_</t>
    </r>
    <r>
      <rPr>
        <u/>
        <sz val="11"/>
        <color theme="1"/>
        <rFont val="Calibri"/>
        <family val="2"/>
        <scheme val="minor"/>
      </rPr>
      <t>_débil (ma)_______</t>
    </r>
  </si>
  <si>
    <r>
      <t>_3,50__3,75_</t>
    </r>
    <r>
      <rPr>
        <b/>
        <u/>
        <sz val="11"/>
        <color theme="1"/>
        <rFont val="Calibri"/>
        <family val="2"/>
        <scheme val="minor"/>
      </rPr>
      <t>_</t>
    </r>
    <r>
      <rPr>
        <u/>
        <sz val="11"/>
        <color theme="1"/>
        <rFont val="Calibri"/>
        <family val="2"/>
        <scheme val="minor"/>
      </rPr>
      <t>_débil (a)______</t>
    </r>
    <r>
      <rPr>
        <b/>
        <u/>
        <sz val="11"/>
        <color theme="1"/>
        <rFont val="Calibri"/>
        <family val="2"/>
        <scheme val="minor"/>
      </rPr>
      <t>_ _</t>
    </r>
  </si>
  <si>
    <r>
      <t>_3,25__3,50_</t>
    </r>
    <r>
      <rPr>
        <b/>
        <u/>
        <sz val="11"/>
        <color theme="1"/>
        <rFont val="Calibri"/>
        <family val="2"/>
        <scheme val="minor"/>
      </rPr>
      <t>_</t>
    </r>
    <r>
      <rPr>
        <u/>
        <sz val="11"/>
        <color theme="1"/>
        <rFont val="Calibri"/>
        <family val="2"/>
        <scheme val="minor"/>
      </rPr>
      <t>_débil (b)______</t>
    </r>
    <r>
      <rPr>
        <b/>
        <u/>
        <sz val="11"/>
        <color theme="1"/>
        <rFont val="Calibri"/>
        <family val="2"/>
        <scheme val="minor"/>
      </rPr>
      <t>_ _</t>
    </r>
  </si>
  <si>
    <r>
      <t>_3,00__3,25_</t>
    </r>
    <r>
      <rPr>
        <b/>
        <u/>
        <sz val="11"/>
        <color theme="1"/>
        <rFont val="Calibri"/>
        <family val="2"/>
        <scheme val="minor"/>
      </rPr>
      <t>_</t>
    </r>
    <r>
      <rPr>
        <u/>
        <sz val="11"/>
        <color theme="1"/>
        <rFont val="Calibri"/>
        <family val="2"/>
        <scheme val="minor"/>
      </rPr>
      <t>_débil (mb)_______</t>
    </r>
  </si>
  <si>
    <r>
      <t>_2,75__3,00_</t>
    </r>
    <r>
      <rPr>
        <b/>
        <u/>
        <sz val="11"/>
        <color theme="1"/>
        <rFont val="Calibri"/>
        <family val="2"/>
        <scheme val="minor"/>
      </rPr>
      <t>_</t>
    </r>
    <r>
      <rPr>
        <u/>
        <sz val="11"/>
        <color theme="1"/>
        <rFont val="Calibri"/>
        <family val="2"/>
        <scheme val="minor"/>
      </rPr>
      <t>_pobre (ma)____</t>
    </r>
    <r>
      <rPr>
        <b/>
        <u/>
        <sz val="11"/>
        <color theme="1"/>
        <rFont val="Calibri"/>
        <family val="2"/>
        <scheme val="minor"/>
      </rPr>
      <t>_</t>
    </r>
    <r>
      <rPr>
        <u/>
        <sz val="11"/>
        <color theme="1"/>
        <rFont val="Calibri"/>
        <family val="2"/>
        <scheme val="minor"/>
      </rPr>
      <t>_</t>
    </r>
  </si>
  <si>
    <r>
      <t>_2,50__2,75_</t>
    </r>
    <r>
      <rPr>
        <b/>
        <u/>
        <sz val="11"/>
        <color theme="1"/>
        <rFont val="Calibri"/>
        <family val="2"/>
        <scheme val="minor"/>
      </rPr>
      <t>_</t>
    </r>
    <r>
      <rPr>
        <u/>
        <sz val="11"/>
        <color theme="1"/>
        <rFont val="Calibri"/>
        <family val="2"/>
        <scheme val="minor"/>
      </rPr>
      <t>_pobre (a)________</t>
    </r>
  </si>
  <si>
    <r>
      <t>_2,25__2,50_</t>
    </r>
    <r>
      <rPr>
        <b/>
        <u/>
        <sz val="11"/>
        <color theme="1"/>
        <rFont val="Calibri"/>
        <family val="2"/>
        <scheme val="minor"/>
      </rPr>
      <t>_</t>
    </r>
    <r>
      <rPr>
        <u/>
        <sz val="11"/>
        <color theme="1"/>
        <rFont val="Calibri"/>
        <family val="2"/>
        <scheme val="minor"/>
      </rPr>
      <t>_pobre (b)________</t>
    </r>
  </si>
  <si>
    <r>
      <t>_2,00__2,25_</t>
    </r>
    <r>
      <rPr>
        <b/>
        <u/>
        <sz val="11"/>
        <color theme="1"/>
        <rFont val="Calibri"/>
        <family val="2"/>
        <scheme val="minor"/>
      </rPr>
      <t>_</t>
    </r>
    <r>
      <rPr>
        <u/>
        <sz val="11"/>
        <color theme="1"/>
        <rFont val="Calibri"/>
        <family val="2"/>
        <scheme val="minor"/>
      </rPr>
      <t>_pobre (mb)____</t>
    </r>
    <r>
      <rPr>
        <b/>
        <u/>
        <sz val="11"/>
        <color theme="1"/>
        <rFont val="Calibri"/>
        <family val="2"/>
        <scheme val="minor"/>
      </rPr>
      <t>_</t>
    </r>
    <r>
      <rPr>
        <u/>
        <sz val="11"/>
        <color theme="1"/>
        <rFont val="Calibri"/>
        <family val="2"/>
        <scheme val="minor"/>
      </rPr>
      <t>_</t>
    </r>
  </si>
  <si>
    <r>
      <t>_1,75__2,00_</t>
    </r>
    <r>
      <rPr>
        <b/>
        <u/>
        <sz val="11"/>
        <color theme="1"/>
        <rFont val="Calibri"/>
        <family val="2"/>
        <scheme val="minor"/>
      </rPr>
      <t>_</t>
    </r>
    <r>
      <rPr>
        <u/>
        <sz val="11"/>
        <color theme="1"/>
        <rFont val="Calibri"/>
        <family val="2"/>
        <scheme val="minor"/>
      </rPr>
      <t>_horrible (ma)_</t>
    </r>
    <r>
      <rPr>
        <b/>
        <u/>
        <sz val="11"/>
        <color theme="1"/>
        <rFont val="Calibri"/>
        <family val="2"/>
        <scheme val="minor"/>
      </rPr>
      <t>___</t>
    </r>
  </si>
  <si>
    <r>
      <t>_1,50__1,75_</t>
    </r>
    <r>
      <rPr>
        <b/>
        <u/>
        <sz val="11"/>
        <color theme="1"/>
        <rFont val="Calibri"/>
        <family val="2"/>
        <scheme val="minor"/>
      </rPr>
      <t>_</t>
    </r>
    <r>
      <rPr>
        <u/>
        <sz val="11"/>
        <color theme="1"/>
        <rFont val="Calibri"/>
        <family val="2"/>
        <scheme val="minor"/>
      </rPr>
      <t>_horrible (a)___</t>
    </r>
    <r>
      <rPr>
        <b/>
        <u/>
        <sz val="11"/>
        <color theme="1"/>
        <rFont val="Calibri"/>
        <family val="2"/>
        <scheme val="minor"/>
      </rPr>
      <t>__</t>
    </r>
    <r>
      <rPr>
        <u/>
        <sz val="11"/>
        <color theme="1"/>
        <rFont val="Calibri"/>
        <family val="2"/>
        <scheme val="minor"/>
      </rPr>
      <t>_</t>
    </r>
  </si>
  <si>
    <r>
      <t>_1,25__1,50_</t>
    </r>
    <r>
      <rPr>
        <b/>
        <u/>
        <sz val="11"/>
        <color theme="1"/>
        <rFont val="Calibri"/>
        <family val="2"/>
        <scheme val="minor"/>
      </rPr>
      <t>_</t>
    </r>
    <r>
      <rPr>
        <u/>
        <sz val="11"/>
        <color theme="1"/>
        <rFont val="Calibri"/>
        <family val="2"/>
        <scheme val="minor"/>
      </rPr>
      <t>_horrible (b)___</t>
    </r>
    <r>
      <rPr>
        <b/>
        <u/>
        <sz val="11"/>
        <color theme="1"/>
        <rFont val="Calibri"/>
        <family val="2"/>
        <scheme val="minor"/>
      </rPr>
      <t>__</t>
    </r>
    <r>
      <rPr>
        <u/>
        <sz val="11"/>
        <color theme="1"/>
        <rFont val="Calibri"/>
        <family val="2"/>
        <scheme val="minor"/>
      </rPr>
      <t>_</t>
    </r>
  </si>
  <si>
    <r>
      <t>_1,00__1,25_</t>
    </r>
    <r>
      <rPr>
        <b/>
        <u/>
        <sz val="11"/>
        <color theme="1"/>
        <rFont val="Calibri"/>
        <family val="2"/>
        <scheme val="minor"/>
      </rPr>
      <t>_</t>
    </r>
    <r>
      <rPr>
        <u/>
        <sz val="11"/>
        <color theme="1"/>
        <rFont val="Calibri"/>
        <family val="2"/>
        <scheme val="minor"/>
      </rPr>
      <t>_horrible (mb)_</t>
    </r>
    <r>
      <rPr>
        <b/>
        <u/>
        <sz val="11"/>
        <color theme="1"/>
        <rFont val="Calibri"/>
        <family val="2"/>
        <scheme val="minor"/>
      </rPr>
      <t>___</t>
    </r>
  </si>
  <si>
    <r>
      <t>_0,75__1,00_</t>
    </r>
    <r>
      <rPr>
        <b/>
        <u/>
        <sz val="11"/>
        <color theme="1"/>
        <rFont val="Calibri"/>
        <family val="2"/>
        <scheme val="minor"/>
      </rPr>
      <t>_</t>
    </r>
    <r>
      <rPr>
        <u/>
        <sz val="11"/>
        <color theme="1"/>
        <rFont val="Calibri"/>
        <family val="2"/>
        <scheme val="minor"/>
      </rPr>
      <t>_desastroso (ma)&amp;#160</t>
    </r>
  </si>
  <si>
    <r>
      <t>_0,50__0,75_</t>
    </r>
    <r>
      <rPr>
        <b/>
        <u/>
        <sz val="11"/>
        <color theme="1"/>
        <rFont val="Calibri"/>
        <family val="2"/>
        <scheme val="minor"/>
      </rPr>
      <t>_</t>
    </r>
    <r>
      <rPr>
        <u/>
        <sz val="11"/>
        <color theme="1"/>
        <rFont val="Calibri"/>
        <family val="2"/>
        <scheme val="minor"/>
      </rPr>
      <t>_desastroso (a)_</t>
    </r>
    <r>
      <rPr>
        <b/>
        <u/>
        <sz val="11"/>
        <color theme="1"/>
        <rFont val="Calibri"/>
        <family val="2"/>
        <scheme val="minor"/>
      </rPr>
      <t>_</t>
    </r>
    <r>
      <rPr>
        <u/>
        <sz val="11"/>
        <color theme="1"/>
        <rFont val="Calibri"/>
        <family val="2"/>
        <scheme val="minor"/>
      </rPr>
      <t>_</t>
    </r>
  </si>
  <si>
    <r>
      <t>_0,25__0,50_</t>
    </r>
    <r>
      <rPr>
        <b/>
        <u/>
        <sz val="11"/>
        <color theme="1"/>
        <rFont val="Calibri"/>
        <family val="2"/>
        <scheme val="minor"/>
      </rPr>
      <t>_</t>
    </r>
    <r>
      <rPr>
        <u/>
        <sz val="11"/>
        <color theme="1"/>
        <rFont val="Calibri"/>
        <family val="2"/>
        <scheme val="minor"/>
      </rPr>
      <t>_desastroso (b)_</t>
    </r>
    <r>
      <rPr>
        <b/>
        <u/>
        <sz val="11"/>
        <color theme="1"/>
        <rFont val="Calibri"/>
        <family val="2"/>
        <scheme val="minor"/>
      </rPr>
      <t>_</t>
    </r>
    <r>
      <rPr>
        <u/>
        <sz val="11"/>
        <color theme="1"/>
        <rFont val="Calibri"/>
        <family val="2"/>
        <scheme val="minor"/>
      </rPr>
      <t>_</t>
    </r>
  </si>
  <si>
    <r>
      <t>_0,00__0,25_</t>
    </r>
    <r>
      <rPr>
        <b/>
        <u/>
        <sz val="11"/>
        <color theme="1"/>
        <rFont val="Calibri"/>
        <family val="2"/>
        <scheme val="minor"/>
      </rPr>
      <t>_</t>
    </r>
    <r>
      <rPr>
        <u/>
        <sz val="11"/>
        <color theme="1"/>
        <rFont val="Calibri"/>
        <family val="2"/>
        <scheme val="minor"/>
      </rPr>
      <t>_desastroso (mb)&amp;#160</t>
    </r>
  </si>
  <si>
    <r>
      <t>_0,00__0,00_</t>
    </r>
    <r>
      <rPr>
        <b/>
        <u/>
        <sz val="11"/>
        <color theme="1"/>
        <rFont val="Calibri"/>
        <family val="2"/>
        <scheme val="minor"/>
      </rPr>
      <t>_</t>
    </r>
    <r>
      <rPr>
        <u/>
        <sz val="11"/>
        <color theme="1"/>
        <rFont val="Calibri"/>
        <family val="2"/>
        <scheme val="minor"/>
      </rPr>
      <t>_no sabe____</t>
    </r>
  </si>
  <si>
    <t>Posesion Equipo A = Mediocampo Equipo A / (Mediocampo Equipo A + Mediocampo Equipo B)</t>
  </si>
  <si>
    <t>Siendo A la posesión del primer equipo y B la del segundo... (A^2.7) / (A^2.7 + B^2.7) para saber ocasiones</t>
  </si>
  <si>
    <t>Maxima</t>
  </si>
  <si>
    <t>Minima</t>
  </si>
  <si>
    <t>Jugadas</t>
  </si>
  <si>
    <t>Pases</t>
  </si>
  <si>
    <t>Anotación</t>
  </si>
  <si>
    <t>Experiencia</t>
  </si>
  <si>
    <t>at-central</t>
  </si>
  <si>
    <t>at-derecha</t>
  </si>
  <si>
    <t>at-izquierda</t>
  </si>
  <si>
    <t>at-bp-i</t>
  </si>
  <si>
    <t>TOTAL</t>
  </si>
  <si>
    <t>Edad</t>
  </si>
  <si>
    <t>5-9%</t>
  </si>
  <si>
    <t>10-15%</t>
  </si>
  <si>
    <t>16-20%</t>
  </si>
  <si>
    <t>21-39%</t>
  </si>
  <si>
    <t>40-100%</t>
  </si>
  <si>
    <t>/Bueno</t>
  </si>
  <si>
    <t>/Formidable</t>
  </si>
  <si>
    <t>/Excelente</t>
  </si>
  <si>
    <t>Débil o peor</t>
  </si>
  <si>
    <t>EDITADO:</t>
  </si>
  <si>
    <t>Resumen del estudio:(11886114.168)</t>
  </si>
  <si>
    <t>Interpretación de las tablas:(11886114.176)</t>
  </si>
  <si>
    <t>Más datos:(11886114.200)</t>
  </si>
  <si>
    <t>Cómo se hizo:(11886114.145)</t>
  </si>
  <si>
    <t>A nivel de selección:(11886114.198)</t>
  </si>
  <si>
    <t>Iba a poner aquí un rollo sobre cómo se hizo el estudio y demás, pero seguro que nadie lo leería e iría directo al grano, así que...</t>
  </si>
  <si>
    <t>Esta es la tabla de las actualizaciones de la parte superior de serenos</t>
  </si>
  <si>
    <r>
      <t>___________________________________________________</t>
    </r>
    <r>
      <rPr>
        <b/>
        <u/>
        <sz val="11"/>
        <color theme="1"/>
        <rFont val="Calibri"/>
        <family val="2"/>
        <scheme val="minor"/>
      </rPr>
      <t>___</t>
    </r>
  </si>
  <si>
    <r>
      <t>_____</t>
    </r>
    <r>
      <rPr>
        <b/>
        <u/>
        <sz val="11"/>
        <color theme="1"/>
        <rFont val="Calibri"/>
        <family val="2"/>
        <scheme val="minor"/>
      </rPr>
      <t>_ _</t>
    </r>
    <r>
      <rPr>
        <u/>
        <sz val="11"/>
        <color theme="1"/>
        <rFont val="Calibri"/>
        <family val="2"/>
        <scheme val="minor"/>
      </rPr>
      <t>bueno/acept__insu__débil__pobre__horri__desast_</t>
    </r>
  </si>
  <si>
    <r>
      <t>_10&amp;gt;9__1_________</t>
    </r>
    <r>
      <rPr>
        <b/>
        <u/>
        <sz val="11"/>
        <color theme="1"/>
        <rFont val="Calibri"/>
        <family val="2"/>
        <scheme val="minor"/>
      </rPr>
      <t>___</t>
    </r>
    <r>
      <rPr>
        <u/>
        <sz val="11"/>
        <color theme="1"/>
        <rFont val="Calibri"/>
        <family val="2"/>
        <scheme val="minor"/>
      </rPr>
      <t>1___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</si>
  <si>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r>
      <t>_9&amp;gt;8_</t>
    </r>
    <r>
      <rPr>
        <b/>
        <u/>
        <sz val="11"/>
        <color theme="1"/>
        <rFont val="Calibri"/>
        <family val="2"/>
        <scheme val="minor"/>
      </rPr>
      <t>_</t>
    </r>
    <r>
      <rPr>
        <u/>
        <sz val="11"/>
        <color theme="1"/>
        <rFont val="Calibri"/>
        <family val="2"/>
        <scheme val="minor"/>
      </rPr>
      <t>_3_________</t>
    </r>
    <r>
      <rPr>
        <b/>
        <u/>
        <sz val="11"/>
        <color theme="1"/>
        <rFont val="Calibri"/>
        <family val="2"/>
        <scheme val="minor"/>
      </rPr>
      <t>___</t>
    </r>
    <r>
      <rPr>
        <u/>
        <sz val="11"/>
        <color theme="1"/>
        <rFont val="Calibri"/>
        <family val="2"/>
        <scheme val="minor"/>
      </rPr>
      <t>2___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</si>
  <si>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r>
      <t>_8&amp;gt;7_</t>
    </r>
    <r>
      <rPr>
        <b/>
        <u/>
        <sz val="11"/>
        <color theme="1"/>
        <rFont val="Calibri"/>
        <family val="2"/>
        <scheme val="minor"/>
      </rPr>
      <t>_</t>
    </r>
    <r>
      <rPr>
        <u/>
        <sz val="11"/>
        <color theme="1"/>
        <rFont val="Calibri"/>
        <family val="2"/>
        <scheme val="minor"/>
      </rPr>
      <t>_5_________</t>
    </r>
    <r>
      <rPr>
        <b/>
        <u/>
        <sz val="11"/>
        <color theme="1"/>
        <rFont val="Calibri"/>
        <family val="2"/>
        <scheme val="minor"/>
      </rPr>
      <t>___</t>
    </r>
    <r>
      <rPr>
        <u/>
        <sz val="11"/>
        <color theme="1"/>
        <rFont val="Calibri"/>
        <family val="2"/>
        <scheme val="minor"/>
      </rPr>
      <t>4___ _3__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</si>
  <si>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r>
      <t>_7&amp;gt;6_</t>
    </r>
    <r>
      <rPr>
        <b/>
        <u/>
        <sz val="11"/>
        <color theme="1"/>
        <rFont val="Calibri"/>
        <family val="2"/>
        <scheme val="minor"/>
      </rPr>
      <t>_</t>
    </r>
    <r>
      <rPr>
        <u/>
        <sz val="11"/>
        <color theme="1"/>
        <rFont val="Calibri"/>
        <family val="2"/>
        <scheme val="minor"/>
      </rPr>
      <t>_7_________</t>
    </r>
    <r>
      <rPr>
        <b/>
        <u/>
        <sz val="11"/>
        <color theme="1"/>
        <rFont val="Calibri"/>
        <family val="2"/>
        <scheme val="minor"/>
      </rPr>
      <t>___</t>
    </r>
    <r>
      <rPr>
        <u/>
        <sz val="11"/>
        <color theme="1"/>
        <rFont val="Calibri"/>
        <family val="2"/>
        <scheme val="minor"/>
      </rPr>
      <t>6___ _5__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</si>
  <si>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r>
      <t>_6&amp;gt;5_</t>
    </r>
    <r>
      <rPr>
        <b/>
        <u/>
        <sz val="11"/>
        <color theme="1"/>
        <rFont val="Calibri"/>
        <family val="2"/>
        <scheme val="minor"/>
      </rPr>
      <t>_</t>
    </r>
    <r>
      <rPr>
        <u/>
        <sz val="11"/>
        <color theme="1"/>
        <rFont val="Calibri"/>
        <family val="2"/>
        <scheme val="minor"/>
      </rPr>
      <t>_13________</t>
    </r>
    <r>
      <rPr>
        <b/>
        <u/>
        <sz val="11"/>
        <color theme="1"/>
        <rFont val="Calibri"/>
        <family val="2"/>
        <scheme val="minor"/>
      </rPr>
      <t>__</t>
    </r>
    <r>
      <rPr>
        <u/>
        <sz val="11"/>
        <color theme="1"/>
        <rFont val="Calibri"/>
        <family val="2"/>
        <scheme val="minor"/>
      </rPr>
      <t>_10</t>
    </r>
    <r>
      <rPr>
        <b/>
        <u/>
        <sz val="11"/>
        <color theme="1"/>
        <rFont val="Calibri"/>
        <family val="2"/>
        <scheme val="minor"/>
      </rPr>
      <t>___</t>
    </r>
    <r>
      <rPr>
        <u/>
        <sz val="11"/>
        <color theme="1"/>
        <rFont val="Calibri"/>
        <family val="2"/>
        <scheme val="minor"/>
      </rPr>
      <t>7__</t>
    </r>
    <r>
      <rPr>
        <b/>
        <u/>
        <sz val="11"/>
        <color theme="1"/>
        <rFont val="Calibri"/>
        <family val="2"/>
        <scheme val="minor"/>
      </rPr>
      <t>__</t>
    </r>
    <r>
      <rPr>
        <u/>
        <sz val="11"/>
        <color theme="1"/>
        <rFont val="Calibri"/>
        <family val="2"/>
        <scheme val="minor"/>
      </rPr>
      <t>_5____</t>
    </r>
    <r>
      <rPr>
        <b/>
        <u/>
        <sz val="11"/>
        <color theme="1"/>
        <rFont val="Calibri"/>
        <family val="2"/>
        <scheme val="minor"/>
      </rPr>
      <t>_</t>
    </r>
    <r>
      <rPr>
        <u/>
        <sz val="11"/>
        <color theme="1"/>
        <rFont val="Calibri"/>
        <family val="2"/>
        <scheme val="minor"/>
      </rPr>
      <t>_2_____1______</t>
    </r>
  </si>
  <si>
    <r>
      <t>_5&amp;gt;4_</t>
    </r>
    <r>
      <rPr>
        <b/>
        <u/>
        <sz val="11"/>
        <color theme="1"/>
        <rFont val="Calibri"/>
        <family val="2"/>
        <scheme val="minor"/>
      </rPr>
      <t>_</t>
    </r>
    <r>
      <rPr>
        <u/>
        <sz val="11"/>
        <color theme="1"/>
        <rFont val="Calibri"/>
        <family val="2"/>
        <scheme val="minor"/>
      </rPr>
      <t>_33________</t>
    </r>
    <r>
      <rPr>
        <b/>
        <u/>
        <sz val="11"/>
        <color theme="1"/>
        <rFont val="Calibri"/>
        <family val="2"/>
        <scheme val="minor"/>
      </rPr>
      <t>__</t>
    </r>
    <r>
      <rPr>
        <u/>
        <sz val="11"/>
        <color theme="1"/>
        <rFont val="Calibri"/>
        <family val="2"/>
        <scheme val="minor"/>
      </rPr>
      <t>_26</t>
    </r>
    <r>
      <rPr>
        <b/>
        <u/>
        <sz val="11"/>
        <color theme="1"/>
        <rFont val="Calibri"/>
        <family val="2"/>
        <scheme val="minor"/>
      </rPr>
      <t>___</t>
    </r>
    <r>
      <rPr>
        <u/>
        <sz val="11"/>
        <color theme="1"/>
        <rFont val="Calibri"/>
        <family val="2"/>
        <scheme val="minor"/>
      </rPr>
      <t>20__</t>
    </r>
    <r>
      <rPr>
        <b/>
        <u/>
        <sz val="11"/>
        <color theme="1"/>
        <rFont val="Calibri"/>
        <family val="2"/>
        <scheme val="minor"/>
      </rPr>
      <t>_</t>
    </r>
    <r>
      <rPr>
        <u/>
        <sz val="11"/>
        <color theme="1"/>
        <rFont val="Calibri"/>
        <family val="2"/>
        <scheme val="minor"/>
      </rPr>
      <t>_13_____6_____2______</t>
    </r>
  </si>
  <si>
    <t>Según el tipo de entrenador, para bajar de un nivel a otro, son necesarias tantas actualizaciones.</t>
  </si>
  <si>
    <t>Durante el estudio también se han visto cosas curiosas, como por ejemplo:</t>
  </si>
  <si>
    <t>- que fichando siete jugadores antipáticos que afecten al espíritu, éste baja un nivel, hablando siempre por debajo de serenos.</t>
  </si>
  <si>
    <t>- que dependiendo de la confianza el efecto del MOTS/PIC disminuye/aumenta los conocidos 1/2 y 1/3 o no.</t>
  </si>
  <si>
    <r>
      <t xml:space="preserve">- que los psicólogos no tienen efecto </t>
    </r>
    <r>
      <rPr>
        <u/>
        <sz val="11"/>
        <color theme="1"/>
        <rFont val="Calibri"/>
        <family val="2"/>
        <scheme val="minor"/>
      </rPr>
      <t>directo</t>
    </r>
    <r>
      <rPr>
        <sz val="11"/>
        <color theme="1"/>
        <rFont val="Calibri"/>
        <family val="2"/>
        <scheme val="minor"/>
      </rPr>
      <t xml:space="preserve"> sobre el espíritu, pero lo hacen a través de la confianza.</t>
    </r>
  </si>
  <si>
    <t>- que dependiendo del nivel de confianza se pueden incrementar el número de las actualizaciones necesarias para recuperar un nivel hasta, al menos, un 15%.</t>
  </si>
  <si>
    <t>- no se ha podido demostrar que el subnivel del liderazgo del entrenador afecte o no al comportamiento del espíritu.</t>
  </si>
  <si>
    <t>Seguramente se sacarán más conclusiones a medida que analice los datos que tengo y, sobre todo, de los que aun no tengo, pero alguien tenía que actualizar su blog</t>
  </si>
  <si>
    <t>;-)</t>
  </si>
  <si>
    <t>P.D.: El estudio no ha concluido y seguramente alguna cosa se tendrá que cambiar.</t>
  </si>
  <si>
    <t>P.D.2: A ver si alguien encuentra una ecuación que aproxime los datos y se la enviamos a gardier para que la incluya en el HC.</t>
  </si>
  <si>
    <t>P.D.3: Por supuesto se admiten críticas</t>
  </si>
  <si>
    <t>Midfield</t>
  </si>
  <si>
    <t>Playing counter attack 93%</t>
  </si>
  <si>
    <t>Playing at home 119.892%</t>
  </si>
  <si>
    <t>Playing derby 111.493%</t>
  </si>
  <si>
    <t>Playing PIC 83.945%</t>
  </si>
  <si>
    <t>Playing MoTs 111.4926%</t>
  </si>
  <si>
    <t>Relative player contributions:</t>
  </si>
  <si>
    <t>IM normal 100%</t>
  </si>
  <si>
    <t>IM off/def 94.697%</t>
  </si>
  <si>
    <t>IM TW 89.816%</t>
  </si>
  <si>
    <t>Extra IM 85%</t>
  </si>
  <si>
    <t>Wing TM 65.949%</t>
  </si>
  <si>
    <t>Wing normal 52.56%</t>
  </si>
  <si>
    <t>Fwd defensive 45.618%</t>
  </si>
  <si>
    <t>Wing off/def 43.773%</t>
  </si>
  <si>
    <t>CD off 36.337%</t>
  </si>
  <si>
    <t>CD normal 27.488%</t>
  </si>
  <si>
    <t>Extra CD 23.365%</t>
  </si>
  <si>
    <t>WB off 20.99%</t>
  </si>
  <si>
    <t>WB TM 15.2%</t>
  </si>
  <si>
    <t>WB normal 15.036%</t>
  </si>
  <si>
    <t>CD TW 14.64%</t>
  </si>
  <si>
    <t>WB defensive 4.387%</t>
  </si>
  <si>
    <t>Team Spirit</t>
  </si>
  <si>
    <t>Team spirit has a non linear effect upon m/f ratings, with higher levels of T/S exhibiting an exaggerating percentile improvement over the mid-composed point. Lower levels of T/S have a similar negative percentile effect. (this means I don't understand the numbers yet!)</t>
  </si>
  <si>
    <t>Side defence</t>
  </si>
  <si>
    <t>Offensive coach 92.957%</t>
  </si>
  <si>
    <t>Defensive coach 120.01%</t>
  </si>
  <si>
    <t>Neutral coach 105%</t>
  </si>
  <si>
    <t>AIM tactic 84.1039%</t>
  </si>
  <si>
    <t>Creative tactic 92.2333%</t>
  </si>
  <si>
    <t>WB defensive 100%</t>
  </si>
  <si>
    <t>WB normal 91.233%</t>
  </si>
  <si>
    <t>WB offensive 69.06%</t>
  </si>
  <si>
    <t>WB TM 68.315%</t>
  </si>
  <si>
    <t>CD TW 65.616%</t>
  </si>
  <si>
    <t>GK (GK skill) 64.709%</t>
  </si>
  <si>
    <t>CD normal 50.018%</t>
  </si>
  <si>
    <t>Wing defensive 47.362%</t>
  </si>
  <si>
    <t>Extra CD 42.515%</t>
  </si>
  <si>
    <t>CD offensive 35.505%</t>
  </si>
  <si>
    <t>Wing normal 34.708%</t>
  </si>
  <si>
    <t>Wing TM 28.996%</t>
  </si>
  <si>
    <t>IM defensive 27.438%</t>
  </si>
  <si>
    <t>GK (defence skill) 26.545%</t>
  </si>
  <si>
    <t>CD normal (2nd CD furthest away from this side) 25.009%</t>
  </si>
  <si>
    <t>IM TW 20.368%</t>
  </si>
  <si>
    <t>IM normal 18.545%</t>
  </si>
  <si>
    <t>CD offensive (2nd CD furthest away from this side) 17.752%</t>
  </si>
  <si>
    <t>Wing offensive 17.321%</t>
  </si>
  <si>
    <t>Extra IM 15.763%</t>
  </si>
  <si>
    <t>IM defensive (2nd IM furthest away from this side) 13.719%</t>
  </si>
  <si>
    <t>IM offensive 11.212%</t>
  </si>
  <si>
    <t>IM normal (2nd IM furthest away from this side) 9.272%</t>
  </si>
  <si>
    <t>IM offensive (2nd IM furthest away from this side) 5.606%</t>
  </si>
  <si>
    <t>Central defence</t>
  </si>
  <si>
    <t>AOW tactic 84.6727%</t>
  </si>
  <si>
    <t>Creative tactic 91.2607%</t>
  </si>
  <si>
    <t>CD normal 100%</t>
  </si>
  <si>
    <t>GK (GK skill) 97.193%</t>
  </si>
  <si>
    <t>Extra CD 85%</t>
  </si>
  <si>
    <t>CD TW 78.437%</t>
  </si>
  <si>
    <t>CD offensive 72.292%</t>
  </si>
  <si>
    <t>WB TM 70.006%</t>
  </si>
  <si>
    <t>IM defensive 62.793%</t>
  </si>
  <si>
    <t>WB defensive 51.382%</t>
  </si>
  <si>
    <t>WB normal 46.147%</t>
  </si>
  <si>
    <t>IM normal 42.435%</t>
  </si>
  <si>
    <t>GK (defence skill) 39.896%</t>
  </si>
  <si>
    <t>WB offensive 38.878%</t>
  </si>
  <si>
    <t>Extra IM 36.07%</t>
  </si>
  <si>
    <t>IM TW 33.767%</t>
  </si>
  <si>
    <t>Wing defensive 28.102%</t>
  </si>
  <si>
    <t>Wing TM 25.344%</t>
  </si>
  <si>
    <t>IM offensive 23.462%</t>
  </si>
  <si>
    <t>Wing normal 20.83%</t>
  </si>
  <si>
    <t>Wing offensive 9.293%</t>
  </si>
  <si>
    <t>Side Attack</t>
  </si>
  <si>
    <t>Offensive coach 113.38%</t>
  </si>
  <si>
    <t>Defensive coach 92.43%</t>
  </si>
  <si>
    <t>Team confidence (TC) also provides a small boost/deficit estimated at @ 1.3% per level above and below ‘decent’.</t>
  </si>
  <si>
    <t>Relative player skill contributions:</t>
  </si>
  <si>
    <t>Wing offensive (wing skill) 100%</t>
  </si>
  <si>
    <t>Wing normal (wing skill) 84.328%</t>
  </si>
  <si>
    <t>Wing defensive (wing skill) 71.95%</t>
  </si>
  <si>
    <t>WB offensive (wing skill) 62.806%</t>
  </si>
  <si>
    <t>IM TW (wing skill) 57.364%</t>
  </si>
  <si>
    <t>Wing TM (wing skill) 56.411%</t>
  </si>
  <si>
    <t>WB normal (wing skill) 51.546%</t>
  </si>
  <si>
    <t>Fwd TW (wing skill) 49.523%</t>
  </si>
  <si>
    <t>Fwd TW (scoring skill) 47.444%</t>
  </si>
  <si>
    <t>WB defensive (wing skill) 32.728%</t>
  </si>
  <si>
    <t>WB TM (wing skill) 32.396%</t>
  </si>
  <si>
    <t>CD TW (wing skill) 28.65%</t>
  </si>
  <si>
    <t>Fwd defensive [Tech] (passing skill) 28.65%</t>
  </si>
  <si>
    <t>Wing offensive (passing skill) 26.967%</t>
  </si>
  <si>
    <t>IM TW (passing skill) 26.422%</t>
  </si>
  <si>
    <t>IM normal (passing skill) 24.452%</t>
  </si>
  <si>
    <t>IM offensive (passing skill) 23.788%</t>
  </si>
  <si>
    <t>Fwd normal (scoring skill) 23.763%</t>
  </si>
  <si>
    <t>Wing normal (passing skill) 23.543%</t>
  </si>
  <si>
    <t>Fwd defensive {non-tech} (passing skill) 20.932%</t>
  </si>
  <si>
    <t>Extra IM (passing skill) 20.784%</t>
  </si>
  <si>
    <t>Wing defensive (passing skill) 20.451%</t>
  </si>
  <si>
    <t>Extra Fwd normal (scoring skill) 20.199%</t>
  </si>
  <si>
    <t>Fwd TW (opposite side) (scoring skill) 19.152%</t>
  </si>
  <si>
    <t>Fwd normal (wing skill) 17.316%</t>
  </si>
  <si>
    <t>Fwd TW (passing skill) 16.774%</t>
  </si>
  <si>
    <t>IM defensive (passing skill) 14.95%</t>
  </si>
  <si>
    <t>Extra Fwd (wing skill) 17.719%</t>
  </si>
  <si>
    <t>Fwd defensive (wing skill) 14.599%</t>
  </si>
  <si>
    <t>Wing TM (passing skill) 14.326%</t>
  </si>
  <si>
    <t>Fwd defensive (scoring skill) 12.414%</t>
  </si>
  <si>
    <t>Fwd normal (passing skill) 12.317%</t>
  </si>
  <si>
    <t>IM normal (2nd IM furthest away from this side) (passing skill) 12.226%</t>
  </si>
  <si>
    <t>IM offensive (2nd IM furthest away from this side) (passing skill) 11.894%</t>
  </si>
  <si>
    <t>Extra Fwd (passing skill) 10.47%</t>
  </si>
  <si>
    <t>IM defensive (2nd IM furthest away from this side) (passing skill) 7.475%</t>
  </si>
  <si>
    <t>It is worth noting that forwards positioned (normal or defensive) furthest away from the side appear to contribute as though they were positioned on this side.</t>
  </si>
  <si>
    <t>Central attack</t>
  </si>
  <si>
    <t>Team confidence (TC) also provides a small boost/deficit estimated at @ 1.3% per level above or below ‘decent’.</t>
  </si>
  <si>
    <t>Fwd normal (scoring skill) 100%</t>
  </si>
  <si>
    <t>Extra Fwd (scoring skill) 85%</t>
  </si>
  <si>
    <t>Fwd defensive [Tech] (passing skill) 80.177%</t>
  </si>
  <si>
    <t>Fwd defensive (scoring skill) 61.785%</t>
  </si>
  <si>
    <t>Fwd TW (scoring skill) 60.697%</t>
  </si>
  <si>
    <t>Fwd defensive {non tech] (passing skill) 50.776%</t>
  </si>
  <si>
    <t>IM offensive (passing skill) 50.244%</t>
  </si>
  <si>
    <t>IM normal (passing skill) 34.044%</t>
  </si>
  <si>
    <t>Fwd normal (passing skill) 33.636%</t>
  </si>
  <si>
    <t>Extra IM (passing skill) 28.937%</t>
  </si>
  <si>
    <t>Extra Fwd (passing skill) 28.591%</t>
  </si>
  <si>
    <t>Fwd TW (passing skill) 24.78%</t>
  </si>
  <si>
    <t>IM TW (passing skill) 23.99%</t>
  </si>
  <si>
    <t>IM defensive (passing skill) 23.748%</t>
  </si>
  <si>
    <t>Wing TM (passing skill) 17.192%</t>
  </si>
  <si>
    <t>Wing offensive (passing skill) 15.351%</t>
  </si>
  <si>
    <t>Wing normal (passing skill) 13.222%</t>
  </si>
  <si>
    <t>Wing defensive (passing skill) 9.163%</t>
  </si>
  <si>
    <r>
      <t xml:space="preserve">Data Collection By </t>
    </r>
    <r>
      <rPr>
        <b/>
        <sz val="11"/>
        <color theme="1"/>
        <rFont val="Calibri"/>
        <family val="2"/>
        <scheme val="minor"/>
      </rPr>
      <t>Bink286</t>
    </r>
  </si>
  <si>
    <t>Neutro</t>
  </si>
  <si>
    <t>Def</t>
  </si>
  <si>
    <t>Off</t>
  </si>
  <si>
    <t>Att</t>
  </si>
  <si>
    <t>Eventos Especiales (de ocasión de gol)</t>
  </si>
  <si>
    <t>En cada ciclo pueden ocurrir hasta 3 SE de este tipo (puede tratarse de un límite o simplemente es muy improbable que ocurran más).</t>
  </si>
  <si>
    <t>Si ha ocurrido un evento de presión, no habrá SE en ese ciclo.</t>
  </si>
  <si>
    <t xml:space="preserve">Existen 30 (29 porque hay uno que nunca aparece): 15 que terminan en gol y los mismos 15 (14) terminados en fallo en lugar de terminar en gol. </t>
  </si>
  <si>
    <t xml:space="preserve">Nunca se repite ninguno de estos 30 SE, así que la máxima cantidad de goles que podría haber por eventos especiales en un partido sería de 15, </t>
  </si>
  <si>
    <t>aunque nunca se han visto más de 5 goles por SE en un partido y nunca se han visto más de 6 SE en un mismo partido.</t>
  </si>
  <si>
    <t>Delantero</t>
  </si>
  <si>
    <t>Jugadores</t>
  </si>
  <si>
    <t>Wing</t>
  </si>
  <si>
    <t>Extremo</t>
  </si>
  <si>
    <t>WB</t>
  </si>
  <si>
    <t>CD</t>
  </si>
  <si>
    <t>Fwd</t>
  </si>
  <si>
    <t>IM</t>
  </si>
  <si>
    <t>Def lateral</t>
  </si>
  <si>
    <t>Def central</t>
  </si>
  <si>
    <t>Cerca</t>
  </si>
  <si>
    <t>Lejos</t>
  </si>
  <si>
    <t>GK (GK skill)</t>
  </si>
  <si>
    <t>GK (defence skill)</t>
  </si>
  <si>
    <t>CD normal (defence skill)</t>
  </si>
  <si>
    <t>CD offensive (defence skill)</t>
  </si>
  <si>
    <t>CD TW (defence skill)</t>
  </si>
  <si>
    <t>Extra CD (defence skill)</t>
  </si>
  <si>
    <t>IM normal (defence skill)</t>
  </si>
  <si>
    <t>IM defensive (defence skill)</t>
  </si>
  <si>
    <t>IM offensive (defence skill)</t>
  </si>
  <si>
    <t>Extra IM (defence skill)</t>
  </si>
  <si>
    <t>WB defensive (defence skill)</t>
  </si>
  <si>
    <t>WB normal (defence skill)</t>
  </si>
  <si>
    <t>WB offensive (defence skill)</t>
  </si>
  <si>
    <t>WB TM (defence skill)</t>
  </si>
  <si>
    <t>Wing defensive (defence skill)</t>
  </si>
  <si>
    <t>Wing normal (defence skill)</t>
  </si>
  <si>
    <t>Wing offensive (defence skill)</t>
  </si>
  <si>
    <t>Wing TM (defence skill)</t>
  </si>
  <si>
    <t>IM normal (jugadas skill)</t>
  </si>
  <si>
    <t>IM off/def (jugadas skill)</t>
  </si>
  <si>
    <t>IM TW (jugadas skill)</t>
  </si>
  <si>
    <t>Extra IM (jugadas skill)</t>
  </si>
  <si>
    <t>Wing TM (jugadas skill)</t>
  </si>
  <si>
    <t>Wing normal (jugadas skill)</t>
  </si>
  <si>
    <t>Fwd defensive (jugadas skill)</t>
  </si>
  <si>
    <t>Wing off/def (jugadas skill)</t>
  </si>
  <si>
    <t>CD normal (jugadas skill)</t>
  </si>
  <si>
    <t>Extra CD (jugadas skill)</t>
  </si>
  <si>
    <t>WB TM (jugadas skill)</t>
  </si>
  <si>
    <t>WB normal (jugadas skill)</t>
  </si>
  <si>
    <t>CD TW (jugadas skill)</t>
  </si>
  <si>
    <t>WB defensive (jugadas skill)</t>
  </si>
  <si>
    <t>IM TW (defence skill)</t>
  </si>
  <si>
    <t>CD offensive (jugadas skill)</t>
  </si>
  <si>
    <t>WB offensive (jugadas skill)</t>
  </si>
  <si>
    <t>CD TW (wing skill)</t>
  </si>
  <si>
    <t>WB defensive (wing skill)</t>
  </si>
  <si>
    <t>WB offensive (wing skill)</t>
  </si>
  <si>
    <t>WB normal (wing skill)</t>
  </si>
  <si>
    <t>WB TM (wing skill)</t>
  </si>
  <si>
    <t>IM TW (wing skill)</t>
  </si>
  <si>
    <t>Wing normal (wing skill)</t>
  </si>
  <si>
    <t>Wing defensive (wing skill)</t>
  </si>
  <si>
    <t>Wing offensive (wing skill)</t>
  </si>
  <si>
    <t>Wing TM (wing skill)</t>
  </si>
  <si>
    <t>Fwd TW (scoring skill)</t>
  </si>
  <si>
    <t>Fwd TW (wing skill)</t>
  </si>
  <si>
    <t>Fwd defensive (scoring skill)</t>
  </si>
  <si>
    <t>Fwd defensive [Tech] (passing skill)</t>
  </si>
  <si>
    <t>Wing offensive (passing skill)</t>
  </si>
  <si>
    <t>IM normal (passing skill)</t>
  </si>
  <si>
    <t xml:space="preserve">IM offensive (passing skill) </t>
  </si>
  <si>
    <t>Fwd normal (scoring skill)</t>
  </si>
  <si>
    <t>Wing normal (passing skill)</t>
  </si>
  <si>
    <t>Extra IM (passing skill)</t>
  </si>
  <si>
    <t>Wing defensive (passing skill)</t>
  </si>
  <si>
    <t xml:space="preserve">IM TW (passing skill) </t>
  </si>
  <si>
    <t>Fwd defensive {non-tech} (passing skill)</t>
  </si>
  <si>
    <t>Fwd TW (opposite side) (scoring skill)</t>
  </si>
  <si>
    <t>IM defensive (passing skill)</t>
  </si>
  <si>
    <t>Fwd defensive (wing skill)</t>
  </si>
  <si>
    <t>Fwd normal (wing skill)</t>
  </si>
  <si>
    <t>Extra Fwd (wing skill)</t>
  </si>
  <si>
    <t>Wing TM (passing skill)</t>
  </si>
  <si>
    <t>Fwd normal (passing skill)</t>
  </si>
  <si>
    <t>Extra Fwd (passing skill)</t>
  </si>
  <si>
    <t>Fwd TW (passing skill)</t>
  </si>
  <si>
    <t>Extra Fwd (scoring skill)</t>
  </si>
  <si>
    <t>Def Lateral</t>
  </si>
  <si>
    <t>Def Central</t>
  </si>
  <si>
    <t>At Central</t>
  </si>
  <si>
    <t>At lateral</t>
  </si>
  <si>
    <t>1 División I (Primera División)</t>
  </si>
  <si>
    <t>4 División II (II.1, II.2, II.3, II.4)</t>
  </si>
  <si>
    <t>16 División III (III.1, III.2, etc. hasta III.16)</t>
  </si>
  <si>
    <t>64 División IV (IV.1, IV.2, etc. hasta IV.64)</t>
  </si>
  <si>
    <t>256 División V (V.1, V.2, etc. hasta V.256)</t>
  </si>
  <si>
    <t>1024 División VI (VI.1, VI.2, etc. hasta VI.1024)</t>
  </si>
  <si>
    <t>1024 División VII (VII.1, VII.2, etc. hasta VII.1024)</t>
  </si>
  <si>
    <t>2048 División VIII (VIII.1, VIII.2, etc. hasta VIII.2048)</t>
  </si>
  <si>
    <t>2048 División IX (IX.1, IX.2, etc. hasta IX.2048)</t>
  </si>
  <si>
    <t>4096 División X (X.1, X.2, etc. hasta X.4096)</t>
  </si>
  <si>
    <t>4096 División XI (XI.1, XI.2, etc. hasta XI.4096)</t>
  </si>
  <si>
    <t>I</t>
  </si>
  <si>
    <t>II</t>
  </si>
  <si>
    <t>III</t>
  </si>
  <si>
    <t>IV</t>
  </si>
  <si>
    <t>V</t>
  </si>
  <si>
    <t>VI</t>
  </si>
  <si>
    <t>VII</t>
  </si>
  <si>
    <t>VIII</t>
  </si>
  <si>
    <t>IX</t>
  </si>
  <si>
    <t>X</t>
  </si>
  <si>
    <t>Copa</t>
  </si>
  <si>
    <t>Se clasifican</t>
  </si>
  <si>
    <t>Todos hasta VII más Todos los VIII menos 2728 equipos</t>
  </si>
  <si>
    <t>Todos los ultimos de VIII fuera</t>
  </si>
  <si>
    <t>Los 680 peores septimos (de 2048 septimos) fuera</t>
  </si>
  <si>
    <t>Ranking</t>
  </si>
  <si>
    <t>segundo de X con 30puntos</t>
  </si>
  <si>
    <t>activos en Esp</t>
  </si>
  <si>
    <t>Entonces mi ranking serà de 55976-60072</t>
  </si>
  <si>
    <t>Despues de la botificación</t>
  </si>
  <si>
    <t>Todos llenos hasta segundos de X + algunos terceros de X</t>
  </si>
  <si>
    <t>más medio punto si lleva 12 semanas</t>
  </si>
  <si>
    <t>más un  punto si lleva 3 temporadas (48semanas)</t>
  </si>
  <si>
    <t>más medio punto por jugar en club de origen</t>
  </si>
  <si>
    <t>Rendimiento</t>
  </si>
  <si>
    <t>(tiempo en equipo)^0,5 / (tiempo de 3temporadas)^0,5</t>
  </si>
  <si>
    <t>afecta a todas las habilidades -&gt; hibridos al poder</t>
  </si>
  <si>
    <t>Long shots: -4% mediocampo (el manual dice "a little bit worse", ahora me he fijado que también el atque - se me había olvidado investigar ese efecto lo haré cuando pueda)</t>
  </si>
  <si>
    <t>Efectos de actitud sobre el mediocampo</t>
  </si>
  <si>
    <t>PIC en murderous/muy agresivos: -14,8%</t>
  </si>
  <si>
    <t>PIC en composed/serenos: -(15,8-16,2%)</t>
  </si>
  <si>
    <t>MOTS en murderous/muy agresivos: +(11,1-11,6%)</t>
  </si>
  <si>
    <t>MOTS en composed/serenos: +(10,3-11,4%)</t>
  </si>
  <si>
    <t>Sobrepoblación</t>
  </si>
  <si>
    <t>La siguiente tabla muestra el penalti de cada delantero/medio/defensa central respecto a tener uno menos.</t>
  </si>
  <si>
    <t>3, respecto a 2:</t>
  </si>
  <si>
    <t>11,8-13,3% Delanteros</t>
  </si>
  <si>
    <t>13,0-13,3% Medios</t>
  </si>
  <si>
    <t>8,1- 8,8% Defensas</t>
  </si>
  <si>
    <t>2, respecto a 1:</t>
  </si>
  <si>
    <t>4,2- 9,7% Delanteros</t>
  </si>
  <si>
    <t>8,3-15,5% Medios *</t>
  </si>
  <si>
    <t>2,1- 2,8% Defensas</t>
  </si>
  <si>
    <t>* con mi espíritu tan bajo no consigo apretar el rango con 1 inner</t>
  </si>
  <si>
    <t>Resultado</t>
  </si>
  <si>
    <t>Benjamin Pedraza tiene aceptable condición. Sin conocer el subnivel, aceptable tiene valor entre 5,00 y 6,00. Formidable muy bajo es 8,00. Entonces x es entre 5/8=62,5% y 6/8=75%.</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</si>
  <si>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</si>
  <si>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</si>
  <si>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</si>
  <si>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</si>
  <si>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 xml:space="preserve">Un jugador rinde 100% los primeros x% del partido (x%*90 minutos). A partir de entonces </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</si>
  <si>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</si>
  <si>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r>
      <t xml:space="preserve">Estudio realizado por </t>
    </r>
    <r>
      <rPr>
        <b/>
        <sz val="8"/>
        <color rgb="FFFFFFFF"/>
        <rFont val="Calibri"/>
        <family val="2"/>
        <scheme val="minor"/>
      </rPr>
      <t>shulo</t>
    </r>
  </si>
  <si>
    <t xml:space="preserve">baja su rendimiento linearmente para llegar a x% rendimiento en el minuto 90. Este x es igual a su nivel de condición dividido por el máximo </t>
  </si>
  <si>
    <t>(formidable muy bajo).</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</si>
  <si>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</si>
  <si>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</si>
  <si>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</si>
  <si>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</si>
  <si>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</si>
  <si>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t>5. Es posible que condición "no sabe" dejaría el jugador con rendimiento cero en el minuto 90, ya que los dos jugadores con subnivel desconocido de desastroso rinden menos del 18% de su rendimiento inicial.</t>
  </si>
  <si>
    <r>
      <t>condición afecta a la experiencia de la misma manera que a las habilidades</t>
    </r>
    <r>
      <rPr>
        <sz val="11"/>
        <color theme="1"/>
        <rFont val="Calibri"/>
        <family val="2"/>
        <scheme val="minor"/>
      </rPr>
      <t>.</t>
    </r>
  </si>
  <si>
    <t>Fidelidad</t>
  </si>
  <si>
    <t>nula</t>
  </si>
  <si>
    <t>pobre (ma)</t>
  </si>
  <si>
    <t>insuficiente (mb)</t>
  </si>
  <si>
    <t>aceptable (mb)</t>
  </si>
  <si>
    <t>aceptable (ma)</t>
  </si>
  <si>
    <t>bueno (b)</t>
  </si>
  <si>
    <t>excelente (mb)</t>
  </si>
  <si>
    <t>excelente (a)</t>
  </si>
  <si>
    <t>formidable (mb)</t>
  </si>
  <si>
    <t>formidable (a)</t>
  </si>
  <si>
    <t>valor Fide</t>
  </si>
  <si>
    <t>&gt;336</t>
  </si>
  <si>
    <t>Dias</t>
  </si>
  <si>
    <t>destacado (mb)</t>
  </si>
  <si>
    <t>destacado (a)</t>
  </si>
  <si>
    <t>brillante (mb)</t>
  </si>
  <si>
    <t>brillante (b)</t>
  </si>
  <si>
    <t>brillante (ma)</t>
  </si>
  <si>
    <t>magnifico (mb)</t>
  </si>
  <si>
    <t>magnifico (a)</t>
  </si>
  <si>
    <t>magnifico (ma)</t>
  </si>
  <si>
    <t>clase mundial (mb)</t>
  </si>
  <si>
    <t>clase mundial (a)</t>
  </si>
  <si>
    <t>clase mundial (ma)</t>
  </si>
  <si>
    <t>sobrenatural (mb)</t>
  </si>
  <si>
    <t>sobrenatural (a)</t>
  </si>
  <si>
    <t>sobrenatural (ma)</t>
  </si>
  <si>
    <t>titanico (mb)</t>
  </si>
  <si>
    <t>titanico (b)</t>
  </si>
  <si>
    <t>titanico (a)</t>
  </si>
  <si>
    <t>extraterrestre (mb)</t>
  </si>
  <si>
    <t>extraterrestre (b)</t>
  </si>
  <si>
    <t>extraterrestre (a)</t>
  </si>
  <si>
    <t>extraterrestre (ma)</t>
  </si>
  <si>
    <t>mitico (mb)</t>
  </si>
  <si>
    <t>mitico (b)</t>
  </si>
  <si>
    <t>mitico (a)</t>
  </si>
  <si>
    <t>mitico (ma)</t>
  </si>
  <si>
    <t>magico (mb)</t>
  </si>
  <si>
    <t>magico (b)</t>
  </si>
  <si>
    <t>magico (a)</t>
  </si>
  <si>
    <t>magico (ma)</t>
  </si>
  <si>
    <t>utopico (mb)</t>
  </si>
  <si>
    <t>utopico (b)</t>
  </si>
  <si>
    <t>utopico (a)</t>
  </si>
  <si>
    <t>utopico (ma)</t>
  </si>
  <si>
    <t>divino (mb)</t>
  </si>
  <si>
    <t>divino (b)</t>
  </si>
  <si>
    <t>divino (a)</t>
  </si>
  <si>
    <t>divino (ma)</t>
  </si>
  <si>
    <t>Min</t>
  </si>
  <si>
    <t>Exp</t>
  </si>
  <si>
    <t>Max</t>
  </si>
  <si>
    <t>Estado de ánimo de los aficionados</t>
  </si>
  <si>
    <t>Multiplicador</t>
  </si>
  <si>
    <t>(asistencia = socios X multiplicador)</t>
  </si>
  <si>
    <t>Aficionados</t>
  </si>
  <si>
    <t>Nuevo</t>
  </si>
  <si>
    <t>CosteContrucción</t>
  </si>
  <si>
    <t>por asiento</t>
  </si>
  <si>
    <t>Coste Inicial</t>
  </si>
  <si>
    <t>Coste de Contrucción</t>
  </si>
  <si>
    <t>CosteMantenimiento</t>
  </si>
  <si>
    <t>CosteSemanal</t>
  </si>
  <si>
    <t>S3</t>
  </si>
  <si>
    <t>S4</t>
  </si>
  <si>
    <t>S5</t>
  </si>
  <si>
    <t>S6</t>
  </si>
  <si>
    <t>Ingresos Extra Grada general:</t>
  </si>
  <si>
    <t>Ingresos Extre Preferentes:</t>
  </si>
  <si>
    <t>Ingresos Extra Tribunas:</t>
  </si>
  <si>
    <t>Ingresos Extra Palcos:</t>
  </si>
  <si>
    <t>IngresoVenta</t>
  </si>
  <si>
    <t>1Partido</t>
  </si>
  <si>
    <t>Coste de Mantenimiento Extra</t>
  </si>
  <si>
    <t>Beneficio Neto Semanal</t>
  </si>
  <si>
    <t>Beneficio Acumulado</t>
  </si>
  <si>
    <t>S2</t>
  </si>
  <si>
    <t>Real Grada</t>
  </si>
  <si>
    <t>Real Preferente</t>
  </si>
  <si>
    <t>Real Tribuna</t>
  </si>
  <si>
    <t>Real Palco</t>
  </si>
  <si>
    <t>Jugador</t>
  </si>
  <si>
    <t>TSI</t>
  </si>
  <si>
    <t>Pablo Gil Fano</t>
  </si>
  <si>
    <t>Logro Antipaticos</t>
  </si>
  <si>
    <t>Valores limites 0,25-3,75 inclusive</t>
  </si>
  <si>
    <t>Voy poniendo algunos:</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</si>
  <si>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</si>
  <si>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</si>
  <si>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</si>
  <si>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</si>
  <si>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</si>
  <si>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</si>
  <si>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</si>
  <si>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</si>
  <si>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</si>
  <si>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</si>
  <si>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</si>
  <si>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</si>
  <si>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</si>
  <si>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</si>
  <si>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</si>
  <si>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</si>
  <si>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</si>
  <si>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INTRODUCCIÓN</t>
  </si>
  <si>
    <t>Bienvenidos al tutorial de sustituciones. En este hilo espero poder explicar cuáles son los tipos básicos de sustituciones condicionales y que podamos debatir qué opciones son más importantes en cada caso. Para ello contaremos con la inestimable colaboración de LA-elfarolillo, fundador de la federación Secrets of Substitutions y gran conocedor del tema.</t>
  </si>
  <si>
    <t>Este tutorial solo tratará las sustituciones condicionales, y no las "obligatorias" (las que suceden si hay lesiones)</t>
  </si>
  <si>
    <t>¿QUÉ SON LAS SUSTITUCIONES CONDICIONALES?</t>
  </si>
  <si>
    <t>Las sustituciones son el cambio de jugadores durante los partidos cuando se dan unas condiciones determinadas, previamente especificadas por el mánager. Fueron introducidas en HT en la temporada 25 española (o 37 en la global). En este tutorial tratamos de igual manera las sustituciones de jugadores y los cambios de posición/comportamiento de un jugador, puesto que HT las une en la misma página e interfaz.</t>
  </si>
  <si>
    <t>Para cada partido, se puede especificar un máximo de 5 sustituciones condicionales/cambios de comportamiento. Si más de 3 órdenes requieren sacar un nuevo jugador al campo, sólo se ejecutarán las 3 primeras, puesto que HT solo permite un máximo de 3 cambios.</t>
  </si>
  <si>
    <t>SUSTITUCIONES: PARTE DE LA TÁCTICA</t>
  </si>
  <si>
    <t>Las sustituciones son una parte muy importante de la preparación de los partidos, aunque en ocasiones no deban ejecutarse. Salvo casos muy excepcionales, no hay motivo por el cual no se deban programar cambios según las cosas vayan bien o mal. Cuando estamos preparando el partido y la táctica, debemos pensar muy claramente sobre las siguientes cuestiones:</t>
  </si>
  <si>
    <t>1) ¿Con qué resultado estaría contento?</t>
  </si>
  <si>
    <t>Las posibilidades serían: "no perder de mucho", "empatar", "ganar" y "golear". Esta pregunta, básicamente, es para evaluar cuál es la expectativa del partido, y pensar en si eres inferior, igual, superior o muy superior a tu rival.</t>
  </si>
  <si>
    <t>2) ¿Cómo voy a generar mis ocasiones?</t>
  </si>
  <si>
    <r>
      <t xml:space="preserve">Aquí sólo considero dos opciones: luchando el mediocampo, o al contraataque. Esta pregunta es importante porque indica cuál es vuestra línea más importante: el mediocampo o la defensa. El ataque no puede generar ocasiones por sí mismo, así que no lo incluyo de momento. A lo largo del tutorial, llamaré a la línea más importante la </t>
    </r>
    <r>
      <rPr>
        <b/>
        <sz val="11"/>
        <color theme="1"/>
        <rFont val="Calibri"/>
        <family val="2"/>
        <scheme val="minor"/>
      </rPr>
      <t>línea clave</t>
    </r>
    <r>
      <rPr>
        <sz val="11"/>
        <color theme="1"/>
        <rFont val="Calibri"/>
        <family val="2"/>
        <scheme val="minor"/>
      </rPr>
      <t>.</t>
    </r>
  </si>
  <si>
    <t>A TENER EN CUENTA</t>
  </si>
  <si>
    <r>
      <t xml:space="preserve">Antes de empezar a planificar las sustituciones, hay que tener en cuenta que 5 sustituciones/reposicionamientos pueden parecer muchos al principio, pero </t>
    </r>
    <r>
      <rPr>
        <b/>
        <sz val="11"/>
        <color theme="1"/>
        <rFont val="Calibri"/>
        <family val="2"/>
        <scheme val="minor"/>
      </rPr>
      <t>5 sustituciones NO son suficientes para cubrir cualquier eventualidad</t>
    </r>
    <r>
      <rPr>
        <sz val="11"/>
        <color theme="1"/>
        <rFont val="Calibri"/>
        <family val="2"/>
        <scheme val="minor"/>
      </rPr>
      <t>. Por este motivo, debemos pensar cuál es el escenario más probable del partido y dedicarle la mayor parte de esas 5 sustituciones. Según mi experiencia personal, un buen balance sería dedicar 3 cambios a la situación más probable, 1 cambio a imprevistos y 1 cambio a expulsiones. En el siguiente post veremos los tipos de sustituciones y cómo aplicarlas.</t>
    </r>
  </si>
  <si>
    <t>Leed las notas de LA-elfarolillo sobre este apartado: (14286771.15)</t>
  </si>
  <si>
    <t>TIPOS DE SUSTITUCIONES</t>
  </si>
  <si>
    <t>En general, creo que podemos separar las sustituciones según el objetivo de las mismas:</t>
  </si>
  <si>
    <r>
      <t xml:space="preserve">1) </t>
    </r>
    <r>
      <rPr>
        <u/>
        <sz val="11"/>
        <color theme="1"/>
        <rFont val="Calibri"/>
        <family val="2"/>
        <scheme val="minor"/>
      </rPr>
      <t>Para recuperarme tras una expulsión</t>
    </r>
  </si>
  <si>
    <t>Es la sustitución más importante, y una que nunca debería faltar al hacer la táctica del partido.</t>
  </si>
  <si>
    <t>Si se juega a luchar por el mediocampo, esta sustitución sirve para sacar un defensa/delantero y poner un inner (mediocampista). Yo recomiendo, en la mayoría de casos, que el sacrificado sea un delantero (también sirve p. ej. reposicionar a un delantero defensivo), a no ser que sea un partido clave en el que no te sirve el empate. Hay que tener en cuenta que es difícil ganar con uno menos, así que es mejor ser conservador y asegurarse como mínimo el empate.</t>
  </si>
  <si>
    <t>Si se juega al contraataque, con esta sustitución se debería cambiar un inner/extremo/delantero y poner un defensa. Hay que intentar minimizar lás pérdidas, de manera que hay que pensar cuál es nuestro ataque más debil. Si nuestro ataque fuerte es el centro, es mejor cambiar a un extremo para que entre un defensa. Si nuestro ataque fuerte son las bandas, mejor sacar a un inner para que entre un defensa. Y si simplemente íbamos a no perder de mucho, cambiar a un delantero por un defensa.</t>
  </si>
  <si>
    <t>En todos los casos mencionados en este punto deberíamos ordenar una sustitución "en cualquier minuto" y "si un mediocampista/defensa mío es expulsado" (según se quiera proteger el medio o la defensa), y entonces elegir el reposicionamiento del jugador. No os preocupéis si ya jugáis con una 3-5-2 y no quedan huecos de reposicionamiento, elegid cualquiera de ellos en la línea que queáis proteger y el motor se encargará del resto.</t>
  </si>
  <si>
    <r>
      <t xml:space="preserve">2) </t>
    </r>
    <r>
      <rPr>
        <u/>
        <sz val="11"/>
        <color theme="1"/>
        <rFont val="Calibri"/>
        <family val="2"/>
        <scheme val="minor"/>
      </rPr>
      <t>Voy perdiendo y quiero remontar</t>
    </r>
  </si>
  <si>
    <t>Evidentemente, hay que hacer cambios ofensivos y potenciar el mediocampo y el ataque (o sólo el ataque, si jugamos al contraataque). Lo más normal es poner a un extremo en ofensivo (cambio moderado), cambiar a un extremo por un delantero (para potenciar el ataque central) o bien cambiar un defensa por un delantero e ir a por todas con una 3-4-3 o una 2-5-3. Puesto que siempre hay que intentar mantener la linea clave más o menos intacta, es importante que al sustituir delantero por un extremo también pongamos un central ofensivo, si es que tenemos uno con jugadas. Si vamos MUY sobrados en la línea clave (mucho más medio que el rival), podemos considerar cambiar un jugador de la línea clave por un delantero. Si disponemos de un buen delantero defensivo, también podemos llegar a un compromiso y potenciar a la vez mediocampo y ataque, cambiando un defensa por un DD.</t>
  </si>
  <si>
    <t>Si nuestra línea clave es la defensa, deberemos potenciar el ataque a costa del mediocampo. Esto puede ser cambiar un inner por un delantero (si queremos mayor ataque central) o poner un inner hacia lateral (si tiene lateral) para potenciar el ataque por una banda.</t>
  </si>
  <si>
    <t>Por norma general, estos cambios deberían empezar sobre el minuto 50 e iniciarse con los cambios más moderados, añadiendo cambios más extremos si vemos que no surgen efecto. Por lo general, yo pondría los cambios "si no vas ganando" cuando se juega en casa, y "si vas perdiendo" cuando juegas fuera (porque un empate fuera tampoco está mal), pero si se es superior al rival y/o sólo sirve la victoria, deberíamos ir a por el "si no vas ganando".</t>
  </si>
  <si>
    <r>
      <t xml:space="preserve">3) </t>
    </r>
    <r>
      <rPr>
        <u/>
        <sz val="11"/>
        <color theme="1"/>
        <rFont val="Calibri"/>
        <family val="2"/>
        <scheme val="minor"/>
      </rPr>
      <t>Voy ganando y estoy contento con el resultado</t>
    </r>
  </si>
  <si>
    <t>Entonces hay que amarrar el partido. El objetivo es que no nos metan goles. Para conseguir esto, debemos: ofrecer al rival el menor número de ocasiones posible con nuestro mediocampo, y parar todas esas ocasiones con nuestra defensa.</t>
  </si>
  <si>
    <t>Eso quiere decir reforzar el mediocampo y la defensa, y dejar un poco de lado el ataque. Si la línea clave es el mediocampo, hay que sustituir un delantero por un defensa (p. ej. de una 3-5-2 a una 4-5-1) para reforzar la defensa, y poner como mínimo uno de los extremos hacia el medio para reforzar el medio. También se puede considerar cambiar el otro delantero por un delantero defensivo para reforzar aun más el medio. Si alguno de los defensas estaba en ofensivo, sería una buena idea también ponerlos en normal. Es importante recordar que hay que reforzar la zona defensiva más más débil en relación al ataque rival. Si el rival ataca por el centro, la sustitución delantero-&gt;defensa debería ser por un central. Si ataca por las bandas, poned un central hacia lateral (o un defensa lateral, si es que no había uno).</t>
  </si>
  <si>
    <t>Si la línea clave es la defensa (jugando p. ej. con una 5-3-2), los cambios deberían ir orientados a mejorar el mediocampo y la defensa. Lo más normal es sacar a un delantero y poner un inner (con una 5-4-1) o bien cambiar a un inner ofensivo por uno defensivo (ya sea el mismo jugador u otro diferente). Si el extremo (o los extremos) juegan con orden ofensivos, habría que ponerlos en normal, o bien uno en normal y el otro hacia medio.</t>
  </si>
  <si>
    <t>Este tipo de cambios se suelen hacer en dos ocasiones muy claras: Cuando juegas fuera un partido igualado, o cuando juegas contra un rival superior. Si se juega contra un rival muy superior, se puede incluso hacer estos cambios "si no voy perdiendo" a partir de cierto minuto.</t>
  </si>
  <si>
    <t>Por lo general, en partidos igualados, estos cambios deberían plantearse relativamente tarde en el partido, quizás a partir del minuto 70. Cuantas menos opciones de ganar tengamos, antes deberíamos programar estos cambios. Por ejemplo, si se juega contra alguien superior y fuera de casa, incluso se puede considerar hacer estos cambios "si voy ganando" en cualquier minuto. De esta manera, si suena la flauta y marcamos un gol temprano, podemos pasarnos el resto del partido especulando con el resultado.</t>
  </si>
  <si>
    <t>En caso de prever un partido relativamente fácil, también se pueden llegar a dedicar dos cambios a la misma situación, aunque no es demasiado recomendable. Un ejemplo sería: cambiar delantero por defensa "si voy ganando por más de 1 gol" en el minuto 60, y el mismo delantero por el mismo defensa "si voy ganando" en el minuto 75. De esta manera damos algo de tiempo a marcar más goles porque en principio somos superiores, pero si las cosas van justas aun podemos amarrar el partido en el minuto 75.</t>
  </si>
  <si>
    <r>
      <t xml:space="preserve">4) </t>
    </r>
    <r>
      <rPr>
        <u/>
        <sz val="11"/>
        <color theme="1"/>
        <rFont val="Calibri"/>
        <family val="2"/>
        <scheme val="minor"/>
      </rPr>
      <t>Reservar titulares y que jueguen los suplentes</t>
    </r>
  </si>
  <si>
    <t>Si te sabes superior al rival y ganas por goleada, hay dos cosas que puedes hacer: ir a humillar al rival, o bien reservar a algunos titulares y dar entrada a suplentes para evitar posibles lesiones. Yo siempre recomiendo reservar a los titulares.</t>
  </si>
  <si>
    <t>Si sólo tienes suplentes malos, las posiciones más sencillas para cambiar a jugadores son los delanteros y los extremos, ya que no afectan a nuestra habilidad de evitar goles en contra. Estas son las posiciones que se deberían usar cuando quieres, por ejemplo, hacer jugar a alguien en muy mala forma para que se recupere un poco. Los cambios, de nuevo, deberían depender del minuto, por ejemplo: "si voy ganando por más de 2 goles" en el minuto 60, "si voy ganando por más de 1 gol" en el minuto 75, o "si voy ganando" en el minuto 89 (cuanta mayor sea la pérdida de nivel al sacar al suplente, más tarde debería hacerse el cambio).</t>
  </si>
  <si>
    <t>Notas de LA-elfarolillo sobre esta táctica: (14286771.17)</t>
  </si>
  <si>
    <t>SUSTITUCIONES AVANZADAS</t>
  </si>
  <si>
    <t>En este apartado tratamos los problemas cuando nuestro rival puede jugar dos (o más) diferentes tácticas, y no sabemos qué hacer. Gracias a las sustituciones, podemos intentar cambiar nuestra táctica si las cosas van mal.</t>
  </si>
  <si>
    <r>
      <t xml:space="preserve">1) </t>
    </r>
    <r>
      <rPr>
        <u/>
        <sz val="11"/>
        <color theme="1"/>
        <rFont val="Calibri"/>
        <family val="2"/>
        <scheme val="minor"/>
      </rPr>
      <t>Del centro a las bandas y al revés</t>
    </r>
  </si>
  <si>
    <t>En un partido importante que debamos ganar, a veces es necesario arriesgar un poco para ganar. Si jugamos contra un adversario que a veces juega con dos/tres defensas centrales y a veces con un defensa central y dos laterales, se puede plantear hacer una táctica para contrarrestarlas las dos. La táctica inicial debería ser la que mejor creáis que va a funcionar viendo los últimos partidos del contrario. Por ejemplo, asumimos que es una 3-5-2 y atacar por el centro, con exremos hacia el medio. En la media parte debemos evaluar si nuestra táctica ha funcionado o no. Deberíamos hacer hasta 4 cambios "si no voy ganando", que serían: poner a los dos extremos en ofensivo y cambiar a los dos delanteros por delanteros defensivos, para mantener el mismo nivel de mediocampo y atacar por las bandas toda la segunda parte.</t>
  </si>
  <si>
    <t>Evidentemente, la táctica también sirve empezando a atacar por las bandas y cambiar al centro, usando los cambios inversos.</t>
  </si>
  <si>
    <r>
      <t xml:space="preserve">2) </t>
    </r>
    <r>
      <rPr>
        <u/>
        <sz val="11"/>
        <color theme="1"/>
        <rFont val="Calibri"/>
        <family val="2"/>
        <scheme val="minor"/>
      </rPr>
      <t>De una banda a la otra, y más potencia por la banda</t>
    </r>
  </si>
  <si>
    <t>Otra táctica muy útil es cuando se juega contra equipos con defensa asimétrica, es decir, con mucha mayor defensa en una banda que en la otra. Si no tenemos suficiente nivel de mediocampo para jugar con dos ataques laterales fuertes, podemos salir con un lateral ofensivo y el otro hacia el medio, y cambiarlos en la media parte "si no voy ganando". Se pueden usar hasta tres cambios para potenciar el ataque por una banda si las cosas no funcionan, que se podrían escalar en diferentes minutos. Lo más normal sería: minuto 45 - Poner un lateral en ofensivo, el otro hacia medio "si no voy ganando". Minuto 60 - Defensa lateral ofensivo "si no voy ganando". Minuto 75 - inner hacia lateral "si no voy ganando".</t>
  </si>
  <si>
    <t>Esta táctica es especialmente útil si juegas contra equipos con una defensa muy fuerte, y que vengan a empatar a cero. El ataque lateral es más difícil de defender que el ataque central, así que es probable marcar si tienes una banda muy fuerte con la que jugar.</t>
  </si>
  <si>
    <t>Notas de LA-elfarolillo sobre este apartado: (14286771.20)</t>
  </si>
  <si>
    <t>Y creo que aquí acaban mis ideas sobre los usos más importantes de las sustituciones. Si queréis ejemplos de como ejecutar bien las sustituciones con lo que os he dicho, repasad los partidos de Primera de las últimas jornadas, y veréis como prácticamente todos ellos los podéis clasificar en uno de los tipos que he descrito en el tutorial. Ahora le paso la batuta a LA-elfarolillo, que nos dará una lección sobre otros usos de las sustituciones. Y que empiecen las preguntas! :)</t>
  </si>
  <si>
    <r>
      <t xml:space="preserve">OTROS </t>
    </r>
    <r>
      <rPr>
        <sz val="11"/>
        <color theme="1"/>
        <rFont val="Calibri"/>
        <family val="2"/>
        <scheme val="minor"/>
      </rPr>
      <t>(por LA-elfarolillo)</t>
    </r>
  </si>
  <si>
    <t>(14286771.15) - ¿Quién sale si hay una lesión y no hay sustituto en su puesto?</t>
  </si>
  <si>
    <t>(14286771.16) - Sustituciones para hacer step-trading</t>
  </si>
  <si>
    <t>(14286771.19) - Sustituciones y resistencia</t>
  </si>
  <si>
    <t>(14286771.21) - Sustituciones y entrenamiento extra</t>
  </si>
  <si>
    <t>(14286771.22) - Sustituciones y juveniles</t>
  </si>
  <si>
    <t>(14286771.23) - Sustituciones y experiencia de formaciones</t>
  </si>
  <si>
    <t>aquadigio escribió:</t>
  </si>
  <si>
    <t>Esta táctica fue objeto de debate en mi fede, y a mí me pareció interesante desde el principio... pero la verdad es que las veces que la he probado no me he ido demasiado bien hasta el punto de que ahora la considero una táctica de nivel menor. Esta táctica me iba como anillo al dedo porque solía disponer de dos o tres híbridos en lateral y jugadas y me resultaba muy fácil cambiar de "hacia medio" a "ofensivo" y viceversa, incluso con el apoyo de un defensa lateral en ofensivo en ocasiones.</t>
  </si>
  <si>
    <t>El problema con el que me he encontrado a la hora de la verdad es que nadie, nadie, nadie, te puede garantizar que al descanso vas por debajo debido a una alineación inicial equivocada. De hecho, en varias ocasiones me ha pasado que usé la táctica para cambiar de banda y resulta que lo que hice fue comenzar a atacar por su banda fuerte, o sea, los cambios resultaron contraproducentes.</t>
  </si>
  <si>
    <t>Dado lo caprichoso del motor del juego, diría que esta táctica es una "apuesta arriesgada", basada en la suposición de que vas perdiendo por una mala elección de la banda de ataque. Quizás primaría otro tipo de tácticas antes que esta para reacción ante una derrota, quizás poner los dos extremos en ofensivo combinado con poner un defensa central en ofensivo (o un delantero en defensivo) para compensar la pérdida de mediocampo. Por supuesto, esto exige tener buenos híbridos o una plantilla amplia.</t>
  </si>
  <si>
    <t>Un inconveniente de esta táctica es que requiere la utilización de muchas ordenes individuales para su ejecución, con lo que nos quedamos sin hueco para realizar sustituciones "normales" de jugador por jugador (si queremos hacer step o plantear una alternativa diferente...).</t>
  </si>
  <si>
    <t>MaxGrada Llena</t>
  </si>
  <si>
    <t>MaxPreferente Lleno</t>
  </si>
  <si>
    <t>MaxTribuna Lleno</t>
  </si>
  <si>
    <t>MaxPalco Lleno</t>
  </si>
  <si>
    <t xml:space="preserve">moles de grana </t>
  </si>
  <si>
    <t>Imper Inca FC</t>
  </si>
  <si>
    <t>at-bp-d</t>
  </si>
  <si>
    <t>tecn</t>
  </si>
  <si>
    <t>Jornada 1 -- 1-2 3-4 5-6 7-8</t>
  </si>
  <si>
    <t>Jornada 2 -- 4-1 2-7 6-3 8-5</t>
  </si>
  <si>
    <t>Jornada 3 -- 1-8 3-5 4-2 7-6</t>
  </si>
  <si>
    <t>Jornada 4 -- 6-1 2-3 5-7 8-4</t>
  </si>
  <si>
    <t>Jornada 5 -- 1-7 4-5 3-8 2-6</t>
  </si>
  <si>
    <t>Jornada 6 -- 5-1 7-3 6-4 8-2</t>
  </si>
  <si>
    <t>Jornada 7 -- 1-3 2-5 4-7 6-8</t>
  </si>
  <si>
    <t>Total</t>
  </si>
  <si>
    <t>Viajes+Venta</t>
  </si>
  <si>
    <t>Entrenables</t>
  </si>
  <si>
    <t>VentasCantera</t>
  </si>
  <si>
    <t>Plantilla</t>
  </si>
  <si>
    <t>Vendibles</t>
  </si>
  <si>
    <t>goal-diff.</t>
  </si>
  <si>
    <t>#chances</t>
  </si>
  <si>
    <t>#drawback</t>
  </si>
  <si>
    <t>Evento echar-se atrás</t>
  </si>
  <si>
    <t>hilo (14695202.194)</t>
  </si>
  <si>
    <t>Minute</t>
  </si>
  <si>
    <t>16-20</t>
  </si>
  <si>
    <t>21-25</t>
  </si>
  <si>
    <t>26-30</t>
  </si>
  <si>
    <t>31-35</t>
  </si>
  <si>
    <t>36-40</t>
  </si>
  <si>
    <t>41-45</t>
  </si>
  <si>
    <t>46-50</t>
  </si>
  <si>
    <t>51-55</t>
  </si>
  <si>
    <t>56-60</t>
  </si>
  <si>
    <t>61-65</t>
  </si>
  <si>
    <t>66-70</t>
  </si>
  <si>
    <t>71-75</t>
  </si>
  <si>
    <t>76-80</t>
  </si>
  <si>
    <t>81-85</t>
  </si>
  <si>
    <t>86-90</t>
  </si>
  <si>
    <t>del 1-5</t>
  </si>
  <si>
    <t>del 6-10</t>
  </si>
  <si>
    <t>del 11-15</t>
  </si>
  <si>
    <t>Castelldefels</t>
  </si>
  <si>
    <t>V.128</t>
  </si>
  <si>
    <t>Esdeveniments especials</t>
  </si>
  <si>
    <t>(...) Si domines el mig del camp tens una lleugera major probabilitat d'obtenir un esdeveniment especial (tant positiu com negatiu), però ....S</t>
  </si>
  <si>
    <t>Ejem......</t>
  </si>
  <si>
    <t>No es de todo correcto lo que pone. Los datos que tengo es para otro tipo de estudio y no son perfectos para mirar esto - pero es suficientemente bueno como para decirlo mejor de lo que ponen las reglas.</t>
  </si>
  <si>
    <t>La base de datos son 594 partidos donde un equipo tiene 80% o más posesión a los 45 y a los 90 minutos. El equipo sin posesión tiene confusión, pero no puedo saber si eso influye en los eventos (a parte de la pérdida de mediocampo).</t>
  </si>
  <si>
    <r>
      <t xml:space="preserve">- El evento "defensa inexperto" solo ocurre 8 veces, pero son </t>
    </r>
    <r>
      <rPr>
        <b/>
        <sz val="11"/>
        <color theme="1"/>
        <rFont val="Calibri"/>
        <family val="2"/>
        <scheme val="minor"/>
      </rPr>
      <t>siempre</t>
    </r>
    <r>
      <rPr>
        <sz val="11"/>
        <color theme="1"/>
        <rFont val="Calibri"/>
        <family val="2"/>
        <scheme val="minor"/>
      </rPr>
      <t xml:space="preserve"> para el equipo sin mediocampo.</t>
    </r>
  </si>
  <si>
    <t>- El evento "defensa imprevisible" sale 13 veces, 6 para el equipo con mediocampo y 7 para el equipo sin, así que aparentemente no importa el mediocampo.</t>
  </si>
  <si>
    <r>
      <t xml:space="preserve">- Los eventos </t>
    </r>
    <r>
      <rPr>
        <b/>
        <sz val="11"/>
        <color theme="1"/>
        <rFont val="Calibri"/>
        <family val="2"/>
        <scheme val="minor"/>
      </rPr>
      <t>positivos</t>
    </r>
    <r>
      <rPr>
        <sz val="11"/>
        <color theme="1"/>
        <rFont val="Calibri"/>
        <family val="2"/>
        <scheme val="minor"/>
      </rPr>
      <t xml:space="preserve"> relacionados con el clima salen 51 veces para el equipo con mediocampo y 48 para el equipo sin, así que aparentemente no importa el mediocampo.</t>
    </r>
  </si>
  <si>
    <r>
      <t xml:space="preserve">- Los eventos </t>
    </r>
    <r>
      <rPr>
        <b/>
        <sz val="11"/>
        <color theme="1"/>
        <rFont val="Calibri"/>
        <family val="2"/>
        <scheme val="minor"/>
      </rPr>
      <t>negativos</t>
    </r>
    <r>
      <rPr>
        <sz val="11"/>
        <color theme="1"/>
        <rFont val="Calibri"/>
        <family val="2"/>
        <scheme val="minor"/>
      </rPr>
      <t xml:space="preserve"> relacionados con el clima salen 66 veces para el equipo con mediocampo y 85 para el equipo sin, así que </t>
    </r>
    <r>
      <rPr>
        <i/>
        <sz val="11"/>
        <color theme="1"/>
        <rFont val="Calibri"/>
        <family val="2"/>
        <scheme val="minor"/>
      </rPr>
      <t>pueden</t>
    </r>
    <r>
      <rPr>
        <sz val="11"/>
        <color theme="1"/>
        <rFont val="Calibri"/>
        <family val="2"/>
        <scheme val="minor"/>
      </rPr>
      <t xml:space="preserve"> favorecer el equipo con mediocampo.</t>
    </r>
  </si>
  <si>
    <t>- La suma de todos los otros eventos especiales es 317 para el equipo con mediocampo, y solo 67 para el equipo sin. Todos estos tipos de eventos son mucho más frecuentes para el equipo con mediocampo.</t>
  </si>
  <si>
    <t>Interesante, no?</t>
  </si>
  <si>
    <t>completo</t>
  </si>
  <si>
    <t>El efecto completo de la confusión y de cuando un equipo se echa atrás para defender están ahora incluidos en las nuevas calificaciones de partido.</t>
  </si>
  <si>
    <t>La confusión afecta a todas las líneas de tu equipo, pero antes solo era visible en el centro del campo. Su impacto completo en todas las calificaciones ya está incluido. También está incluido el efecto de la maniobra de echarse para atrás a defender. Esta acción es un fenómeno psicológico que hace que tus jugadores se concentren más en la defensa a expensas del ataque cuando tu equipo está ganando, y es algo que tú, como mánager, no puedes controlar.</t>
  </si>
  <si>
    <t>Estos pequeños cambios en las calificaciones han estado incorporados en los partidos amistosos desde hace una semana. Las nuevas calificaciones serán aplicadas en todos los partidos la próxima temporada.</t>
  </si>
  <si>
    <t>1 a 3</t>
  </si>
  <si>
    <t>1 a 4</t>
  </si>
  <si>
    <t>1 a 5</t>
  </si>
  <si>
    <t>% i</t>
  </si>
  <si>
    <t>1 a 6</t>
  </si>
  <si>
    <t>Precio Compra</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</si>
  <si>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</si>
  <si>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</si>
  <si>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</si>
  <si>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9,99-9</t>
  </si>
  <si>
    <t>8,99-8</t>
  </si>
  <si>
    <t>7,99-7</t>
  </si>
  <si>
    <t>6,99-6</t>
  </si>
  <si>
    <t>5,99-5</t>
  </si>
  <si>
    <t>4,99-4</t>
  </si>
  <si>
    <t>Venta</t>
  </si>
  <si>
    <t>IX.1618</t>
  </si>
  <si>
    <t>Negrin</t>
  </si>
  <si>
    <t>Salarios</t>
  </si>
  <si>
    <t>VIII.284</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</si>
  <si>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</si>
  <si>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</si>
  <si>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</si>
  <si>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</si>
  <si>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</si>
  <si>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</si>
  <si>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</si>
  <si>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</si>
  <si>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</si>
  <si>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</si>
  <si>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</si>
  <si>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</si>
  <si>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</si>
  <si>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</si>
  <si>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</si>
  <si>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</si>
  <si>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</si>
  <si>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</si>
  <si>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</si>
  <si>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</si>
  <si>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</si>
  <si>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</si>
  <si>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</si>
  <si>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</si>
  <si>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</si>
  <si>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</si>
  <si>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</si>
  <si>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</si>
  <si>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</si>
  <si>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</si>
  <si>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</si>
  <si>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</si>
  <si>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</si>
  <si>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</si>
  <si>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</si>
  <si>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</si>
  <si>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</si>
  <si>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</si>
  <si>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</si>
  <si>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</si>
  <si>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</si>
  <si>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</si>
  <si>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</si>
  <si>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</si>
  <si>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</si>
  <si>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</si>
  <si>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</si>
  <si>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</si>
  <si>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</si>
  <si>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</si>
  <si>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</si>
  <si>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</si>
  <si>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</si>
  <si>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</si>
  <si>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</si>
  <si>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</si>
  <si>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</si>
  <si>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</si>
  <si>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Ingresos Fijo</t>
  </si>
  <si>
    <t>Pagos Fijos</t>
  </si>
  <si>
    <t>Total Fijo</t>
  </si>
  <si>
    <t>Ingresos Variables</t>
  </si>
  <si>
    <t>Pagos Variables</t>
  </si>
  <si>
    <t>Total Variables</t>
  </si>
  <si>
    <t>ACTIVO</t>
  </si>
  <si>
    <t>PASIVO</t>
  </si>
  <si>
    <t>ByP</t>
  </si>
  <si>
    <t>Inmobilizado</t>
  </si>
  <si>
    <t>Rubianes</t>
  </si>
  <si>
    <t>Sava</t>
  </si>
  <si>
    <t>Chua</t>
  </si>
  <si>
    <t>Potyka</t>
  </si>
  <si>
    <t>Haro</t>
  </si>
  <si>
    <t>Della Torre</t>
  </si>
  <si>
    <t>Edwin</t>
  </si>
  <si>
    <t>Zwidowski</t>
  </si>
  <si>
    <t>Pena</t>
  </si>
  <si>
    <t>Bodin</t>
  </si>
  <si>
    <t>Azpileta</t>
  </si>
  <si>
    <t>Tegen</t>
  </si>
  <si>
    <t>Lindgren</t>
  </si>
  <si>
    <t>JugDespedido</t>
  </si>
  <si>
    <t>Azuri</t>
  </si>
  <si>
    <t>Hamburg</t>
  </si>
  <si>
    <t>Tomse</t>
  </si>
  <si>
    <t>Caldera</t>
  </si>
  <si>
    <t>Berchthold</t>
  </si>
  <si>
    <t>Bugajki</t>
  </si>
  <si>
    <t>Dembek</t>
  </si>
  <si>
    <t>Pelleboer</t>
  </si>
  <si>
    <t>Gygax</t>
  </si>
  <si>
    <t>Manea</t>
  </si>
  <si>
    <t>Lulewicz</t>
  </si>
  <si>
    <t>Macrame</t>
  </si>
  <si>
    <t>Casar</t>
  </si>
  <si>
    <t>Manrique</t>
  </si>
  <si>
    <t>Nanowski</t>
  </si>
  <si>
    <t>Buras</t>
  </si>
  <si>
    <t>Fité</t>
  </si>
  <si>
    <t>Alfredsson</t>
  </si>
  <si>
    <t>Najera</t>
  </si>
  <si>
    <t>Currie</t>
  </si>
  <si>
    <t>Berkenbosh</t>
  </si>
  <si>
    <t>Mancarella</t>
  </si>
  <si>
    <t>Peñafiel</t>
  </si>
  <si>
    <t>Heiskanen</t>
  </si>
  <si>
    <t>Flemin</t>
  </si>
  <si>
    <t>Kalo</t>
  </si>
  <si>
    <t>Jimenez</t>
  </si>
  <si>
    <t>Jula</t>
  </si>
  <si>
    <t>Heras</t>
  </si>
  <si>
    <t>Cowper</t>
  </si>
  <si>
    <t>Demaison</t>
  </si>
  <si>
    <t>Mercadeo</t>
  </si>
  <si>
    <t>Cantera</t>
  </si>
  <si>
    <t>Beneficio Jugadores</t>
  </si>
  <si>
    <t>Beneficio Entrenables</t>
  </si>
  <si>
    <t>Beneficio Cantera</t>
  </si>
  <si>
    <t>Beneficio</t>
  </si>
  <si>
    <t>C</t>
  </si>
  <si>
    <t>E</t>
  </si>
  <si>
    <t>M</t>
  </si>
  <si>
    <t>J</t>
  </si>
  <si>
    <t>ValorContable</t>
  </si>
  <si>
    <t>Londorf</t>
  </si>
  <si>
    <t>Notas</t>
  </si>
  <si>
    <t>Calmet</t>
  </si>
  <si>
    <t>Mier</t>
  </si>
  <si>
    <t>Pimminaen</t>
  </si>
  <si>
    <t>Joaquin</t>
  </si>
  <si>
    <t>Yuondong</t>
  </si>
  <si>
    <t>Ferruecos</t>
  </si>
  <si>
    <t>Rainwow</t>
  </si>
  <si>
    <t>Beltran</t>
  </si>
  <si>
    <t>Gil Fano</t>
  </si>
  <si>
    <t>Cost</t>
  </si>
  <si>
    <t>Roca</t>
  </si>
  <si>
    <t>Beneficio Mercadeo</t>
  </si>
  <si>
    <t>Beneficio Actividad</t>
  </si>
  <si>
    <t>Transferencias de jugadores T36</t>
  </si>
  <si>
    <t>BALANCE DE SITUACION T36</t>
  </si>
  <si>
    <t xml:space="preserve">a cierre de ejercicio </t>
  </si>
  <si>
    <t>Amortizaciones</t>
  </si>
  <si>
    <t>ComisonVenta</t>
  </si>
  <si>
    <t>BALANCE DE SITUACION T37</t>
  </si>
  <si>
    <t>Capital Inicial</t>
  </si>
  <si>
    <t>Beneficio Año Anterior</t>
  </si>
  <si>
    <t>Ingresos Anuales</t>
  </si>
  <si>
    <t>Pagos Anuales</t>
  </si>
  <si>
    <t>Patrimonio Neto</t>
  </si>
  <si>
    <t>Compras</t>
  </si>
  <si>
    <t>Transferencias de jugadores T37</t>
  </si>
  <si>
    <t>Caja Inicial</t>
  </si>
  <si>
    <t>Rainbow</t>
  </si>
  <si>
    <t>Recursos Propios</t>
  </si>
  <si>
    <t>Griere</t>
  </si>
  <si>
    <t>Today I'm going to talk in a bit of detail about the Coach in Hattrick as it stands at the 12th of May, 2012. There have been some recent changes, so I'll try to cover everything. I'll help out the new managers first, then turn to the challenges an Experienced manager faces. I also hope I haven't forgotten anything :-)</t>
  </si>
  <si>
    <t>Okay, let's get into it...</t>
  </si>
  <si>
    <t>The New Manager</t>
  </si>
  <si>
    <t>For many years, when you first joined the game, Hattrick 'set you up to fail'. They gave you a wad of money and set you free! If you started Hattrick prior to a few weeks ago, you may need to reassess what you're doing. The two things you should have sorted out, FIRST, are a Coach and Trainees. Getting both were the two most important things you needed to do, to get a good start in this game.</t>
  </si>
  <si>
    <t>More recently, Hattrick changed the rules, and now provide new managers with an acceptable Passable coach.</t>
  </si>
  <si>
    <t>However, there are many new-ish managers out there (and old ones!) who still need to change their coach. The newest managers (ie with Passable coaches) should read on, as it'll give you some insight into whether you want to take the plunge and get a Solid trainer.</t>
  </si>
  <si>
    <r>
      <t xml:space="preserve">So, let's get into the nitty-gritty. As mentioned, in the past Hattrick provided you with a </t>
    </r>
    <r>
      <rPr>
        <b/>
        <sz val="11"/>
        <color theme="1"/>
        <rFont val="Calibri"/>
        <family val="2"/>
        <scheme val="minor"/>
      </rPr>
      <t>Weak</t>
    </r>
    <r>
      <rPr>
        <sz val="11"/>
        <color theme="1"/>
        <rFont val="Calibri"/>
        <family val="2"/>
        <scheme val="minor"/>
      </rPr>
      <t xml:space="preserve"> trainer, with X leadership and X experience. It's his training skill that is most important to you. While we all love to compete, competing also means putting a decent team on the field </t>
    </r>
    <r>
      <rPr>
        <i/>
        <sz val="11"/>
        <color theme="1"/>
        <rFont val="Calibri"/>
        <family val="2"/>
        <scheme val="minor"/>
      </rPr>
      <t>economically</t>
    </r>
    <r>
      <rPr>
        <sz val="11"/>
        <color theme="1"/>
        <rFont val="Calibri"/>
        <family val="2"/>
        <scheme val="minor"/>
      </rPr>
      <t xml:space="preserve">. A Weak trainer, put simply, will not train your team fast enough to maintain its value. </t>
    </r>
    <r>
      <rPr>
        <u/>
        <sz val="11"/>
        <color theme="1"/>
        <rFont val="Calibri"/>
        <family val="2"/>
        <scheme val="minor"/>
      </rPr>
      <t>He must be replaced</t>
    </r>
    <r>
      <rPr>
        <sz val="11"/>
        <color theme="1"/>
        <rFont val="Calibri"/>
        <family val="2"/>
        <scheme val="minor"/>
      </rPr>
      <t xml:space="preserve">. Let me reiterate: A decent Coach is the single most expensive investment you will make in your team's progression, and likely the most important, early in the game, </t>
    </r>
    <r>
      <rPr>
        <b/>
        <sz val="11"/>
        <color theme="1"/>
        <rFont val="Calibri"/>
        <family val="2"/>
        <scheme val="minor"/>
      </rPr>
      <t>IF</t>
    </r>
    <r>
      <rPr>
        <sz val="11"/>
        <color theme="1"/>
        <rFont val="Calibri"/>
        <family val="2"/>
        <scheme val="minor"/>
      </rPr>
      <t xml:space="preserve"> you still have a Weak trainer.</t>
    </r>
  </si>
  <si>
    <r>
      <t xml:space="preserve">As mentioned, you basically have 2 'correct' alternatives to choose between. Either a </t>
    </r>
    <r>
      <rPr>
        <b/>
        <sz val="11"/>
        <color theme="1"/>
        <rFont val="Calibri"/>
        <family val="2"/>
        <scheme val="minor"/>
      </rPr>
      <t>Solid Trainer</t>
    </r>
    <r>
      <rPr>
        <sz val="11"/>
        <color theme="1"/>
        <rFont val="Calibri"/>
        <family val="2"/>
        <scheme val="minor"/>
      </rPr>
      <t xml:space="preserve"> with Poor Leadership, or a </t>
    </r>
    <r>
      <rPr>
        <b/>
        <sz val="11"/>
        <color theme="1"/>
        <rFont val="Calibri"/>
        <family val="2"/>
        <scheme val="minor"/>
      </rPr>
      <t>Passable Trainer</t>
    </r>
    <r>
      <rPr>
        <sz val="11"/>
        <color theme="1"/>
        <rFont val="Calibri"/>
        <family val="2"/>
        <scheme val="minor"/>
      </rPr>
      <t xml:space="preserve"> with Poor Leadership. Note that Leadership is only important for the management of team spirit. It's generally accepted that Leadership higher than Poor is unnecessary in the lowest divisions. A Solid trainer trains about 9% faster than a Passable, and is much more than 9% more expensive. A Passable trainer is a less effective trainer, but the outlay is much lower, and the savings can be spent getting slightly better trainees. There is also another effect. Solid trainers provide your team with better average Form than Passable trainers*. The choice is yours.</t>
    </r>
  </si>
  <si>
    <t>It will take a bit of thought to balance your budget, and getting an 'ideal' coach for the medium term will mean getting poorer trainees. Getting a 'less than ideal' coach for the shorter term (and better trainees), could appeal to you. At the end of the day, if you do everything else 'right', there is probably very little in it.</t>
  </si>
  <si>
    <r>
      <t xml:space="preserve">In practical terms, it's not difficult to action the purchasing of a new Coach (externally, ie. </t>
    </r>
    <r>
      <rPr>
        <b/>
        <sz val="11"/>
        <color theme="1"/>
        <rFont val="Calibri"/>
        <family val="2"/>
        <scheme val="minor"/>
      </rPr>
      <t>not</t>
    </r>
    <r>
      <rPr>
        <sz val="11"/>
        <color theme="1"/>
        <rFont val="Calibri"/>
        <family val="2"/>
        <scheme val="minor"/>
      </rPr>
      <t xml:space="preserve"> using a player already in your team) .</t>
    </r>
  </si>
  <si>
    <t>1. Select (click on) Training</t>
  </si>
  <si>
    <t>2. Select Change Coach</t>
  </si>
  <si>
    <r>
      <t xml:space="preserve">3. Select </t>
    </r>
    <r>
      <rPr>
        <b/>
        <sz val="11"/>
        <color theme="1"/>
        <rFont val="Calibri"/>
        <family val="2"/>
        <scheme val="minor"/>
      </rPr>
      <t>External Recruiting</t>
    </r>
  </si>
  <si>
    <t>4. Select the 'Trainer Type' (see below)</t>
  </si>
  <si>
    <t>5. Select Leadership (for the new user, Poor is sufficient)</t>
  </si>
  <si>
    <t>6. On the next page, you'll get the option to purchase either the Passable or the Solid coach (as well as others). Let's take a quick look at what it costs:</t>
  </si>
  <si>
    <t>Euros/US$</t>
  </si>
  <si>
    <t>Pounds</t>
  </si>
  <si>
    <t>AU$</t>
  </si>
  <si>
    <t>Inad</t>
  </si>
  <si>
    <t>10k</t>
  </si>
  <si>
    <t>7k</t>
  </si>
  <si>
    <t>20k</t>
  </si>
  <si>
    <t>Passable</t>
  </si>
  <si>
    <t>80k</t>
  </si>
  <si>
    <t>53k</t>
  </si>
  <si>
    <t>159k</t>
  </si>
  <si>
    <t>Solid</t>
  </si>
  <si>
    <t>268k</t>
  </si>
  <si>
    <t>179k</t>
  </si>
  <si>
    <t>537k</t>
  </si>
  <si>
    <t>Excellent^</t>
  </si>
  <si>
    <t>4000k</t>
  </si>
  <si>
    <t>2667k</t>
  </si>
  <si>
    <t>8000k</t>
  </si>
  <si>
    <t>^This is really just for illustrative purposes. You could never afford a trainer like this, early in the game. Excellent trainers are for established users. I'll hopefully have room to talk about them at the end of this article.</t>
  </si>
  <si>
    <t>Trainer Type: Coach Mindedness</t>
  </si>
  <si>
    <t>If we take the neutral coach as a reference (ie no bonus or penalty), then the latest data suggests the following:</t>
  </si>
  <si>
    <t>Defensive coach:</t>
  </si>
  <si>
    <t>has penalty on attack ratings 11.11%-12.5%,</t>
  </si>
  <si>
    <t>and bonus on defence ratings 11.76%-13.73%</t>
  </si>
  <si>
    <t>Offensive coach</t>
  </si>
  <si>
    <t>has bonus on attack ratings 6.45%-8.33%</t>
  </si>
  <si>
    <t>and penalty on defence ratings 11.54%-12.50%</t>
  </si>
  <si>
    <t>From: (15172393.504)</t>
  </si>
  <si>
    <t>In any case, the point of 'Mindedness' is to give the manager the ability to balance the advantages and disadvantages of playing particular formations in order to maximise training and ratings. Remember however that your coach will be around for some time (usually 3 seasons or more unless you get the Passable, in which case you may switch sooner), and your circumstances may change. Some argue that an offensive coach is good for defense trainers as it maximises the area you are not training. Others will take the opposite argument and suggest it's better to boost your best sectors. There's no silver bullet here, and the best choice depends largely on your plans. If in doubt, selecting 'neutral' mindedness is not a bad policy.</t>
  </si>
  <si>
    <t>So, in summary, and just to repeat, IF you still have your Weak Trainer, upgrading to a decent coach, then going on to buy your trainees, are the two foundations of your HT career. If you muck it up, or ignore it, it could set you back for seasons. Get it right, and you are off! HT is your oyster!</t>
  </si>
  <si>
    <t>New managers read on, I'll explain how to plan ahead in the following...</t>
  </si>
  <si>
    <t>The Established Manager</t>
  </si>
  <si>
    <t>Right, so, now we find ourselves down the track a bit. A few seasons have passed, you have promoted once, you are about to sell some trainees, and you notice something. Your shiny Solid (or Passable) trainer is looking a bit tarnished. His Leadership has eroded over the 'years', and he's now at Wretched Leadership!</t>
  </si>
  <si>
    <t>The 'forward planners' amongst us won't be concerned at all, because, reasonably soon after getting their initial coach, they planned ahead. They bought a player who could either sit in their team doing nothing (he doesn't have to play) for 16 weeks, or have been building the experience of a player in order to step into the coaching role.</t>
  </si>
  <si>
    <t>The best kind of coach is the Excellent trainer with Solid Leadership. This is as good as it gets. You cannot get better. For now, lets leave the Excellent Coaches for a bit later, as the vast majority of us won't invest in them, due to their cost.</t>
  </si>
  <si>
    <t>Note: A player's Experience determines the highest level Trainer he can become. Also, higher Experience lowers the cost of conversion. So, a Magical Experienced player could be made into an Excellent, Solid or even a Passable coach. A Solid Experienced player could be made into a Solid or Passable coach, but not an Excellent coach.</t>
  </si>
  <si>
    <r>
      <t xml:space="preserve">For the vast majority of us, a Solid trainer with Solid Leadership is perfectly fine. Of course, buying a player with high enough Experience (XP) </t>
    </r>
    <r>
      <rPr>
        <b/>
        <sz val="11"/>
        <color theme="1"/>
        <rFont val="Calibri"/>
        <family val="2"/>
        <scheme val="minor"/>
      </rPr>
      <t>and</t>
    </r>
    <r>
      <rPr>
        <sz val="11"/>
        <color theme="1"/>
        <rFont val="Calibri"/>
        <family val="2"/>
        <scheme val="minor"/>
      </rPr>
      <t xml:space="preserve"> Solid Leadership is expensive (around 500k euros last time I checked - with no skills).</t>
    </r>
  </si>
  <si>
    <t>The Cheaper Options:</t>
  </si>
  <si>
    <r>
      <t xml:space="preserve">You </t>
    </r>
    <r>
      <rPr>
        <i/>
        <sz val="11"/>
        <color theme="1"/>
        <rFont val="Calibri"/>
        <family val="2"/>
        <scheme val="minor"/>
      </rPr>
      <t>could</t>
    </r>
    <r>
      <rPr>
        <sz val="11"/>
        <color theme="1"/>
        <rFont val="Calibri"/>
        <family val="2"/>
        <scheme val="minor"/>
      </rPr>
      <t xml:space="preserve"> skimp on the Leadership and buy Passable. It's certainly a much cheaper option, but of course he won't perform at his best, </t>
    </r>
    <r>
      <rPr>
        <i/>
        <sz val="11"/>
        <color theme="1"/>
        <rFont val="Calibri"/>
        <family val="2"/>
        <scheme val="minor"/>
      </rPr>
      <t>for as long</t>
    </r>
    <r>
      <rPr>
        <sz val="11"/>
        <color theme="1"/>
        <rFont val="Calibri"/>
        <family val="2"/>
        <scheme val="minor"/>
      </rPr>
      <t xml:space="preserve">, as if he had Solid Leadership. On the other hand, you could buy a Passable (or even Inadequate) </t>
    </r>
    <r>
      <rPr>
        <i/>
        <sz val="11"/>
        <color theme="1"/>
        <rFont val="Calibri"/>
        <family val="2"/>
        <scheme val="minor"/>
      </rPr>
      <t>Experience</t>
    </r>
    <r>
      <rPr>
        <sz val="11"/>
        <color theme="1"/>
        <rFont val="Calibri"/>
        <family val="2"/>
        <scheme val="minor"/>
      </rPr>
      <t xml:space="preserve"> player and build his XP up to Solid+. This is the route many take, as a player like this often has less premium attached to his Leadership in comparison to a 'ready' coach (about half-price in the case of Passable XP). You'll need to spend time on him, playing him in as many matches as possible, to gain enough experience, which may mean he'll need skills, which will cost extra.</t>
    </r>
  </si>
  <si>
    <r>
      <t xml:space="preserve">Let's take a quick look at </t>
    </r>
    <r>
      <rPr>
        <b/>
        <sz val="11"/>
        <color theme="1"/>
        <rFont val="Calibri"/>
        <family val="2"/>
        <scheme val="minor"/>
      </rPr>
      <t>Leadership</t>
    </r>
    <r>
      <rPr>
        <sz val="11"/>
        <color theme="1"/>
        <rFont val="Calibri"/>
        <family val="2"/>
        <scheme val="minor"/>
      </rPr>
      <t>:</t>
    </r>
  </si>
  <si>
    <r>
      <t xml:space="preserve">Basically higher Leadership (LS) on your coach allows for more effective management of Team Spirit (TS). The higher your TS, the better is your midfield. You initially gain TS by Playing It Cool (or PICing). PICing adds a 33.3% to your current TS. After the match, you'll see the boost. In each of the following daily updates, your TS will fall (if not 'visually', then by sublevels). The </t>
    </r>
    <r>
      <rPr>
        <b/>
        <sz val="11"/>
        <color theme="1"/>
        <rFont val="Calibri"/>
        <family val="2"/>
        <scheme val="minor"/>
      </rPr>
      <t>rate</t>
    </r>
    <r>
      <rPr>
        <sz val="11"/>
        <color theme="1"/>
        <rFont val="Calibri"/>
        <family val="2"/>
        <scheme val="minor"/>
      </rPr>
      <t xml:space="preserve"> of this fall in high TS is determined by the LS on your coach. Similarly, if you play MOTS, you will halve your TS. If, after the match, your current TS is below the median (4.5) Composed, then higher LS on your coach will improve your TS (toward composed 4.5) more quickly.</t>
    </r>
  </si>
  <si>
    <t>And of course, once made a coach, his Leadership will begin to decline. It's rather random, but we are assured there will at least be no drops in the first season. It's quite possible for a level of leadership to last for 2-3 seasons, but sometimes it's quite a bit less. There's a large random element. Still, it's also why Solid leadership is valued more highly than Passable, although in practical terms there's little or no difference between them in the management of TS.</t>
  </si>
  <si>
    <t>So you can see, Leadership is very important on your coach, and as you rise in the divisions and the teams/matches get more competitive, you'll need every edge you can get! And in order to be in a position to compete, it's best to plan ahead, and to have a couple of 'future coaches' brewing in your team for later use.</t>
  </si>
  <si>
    <t>Excellent Coaches</t>
  </si>
  <si>
    <t>There is much written about 'whether or not you should get an Excellent Coach'. I won't attempt to sway you one way or another, but simply give you the facts.</t>
  </si>
  <si>
    <t>An Excellent coach is only 'just' excellent, which is why Excellent coaches train at only 5.0-5.5% extra, compared to Solid Coaches.</t>
  </si>
  <si>
    <t>*Excellent trainers provide better average form than Solid, and Solid provides better average form than Passable.</t>
  </si>
  <si>
    <t>There is another small advantage I haven't mentioned. An Excellent trainer will train 'more', so that would mean, given (for example), a 10% stamina share, an Excellent coach will train 'more' stamina than a Solid (the same applies for Solid vs Passable).</t>
  </si>
  <si>
    <t>So you can see, there are quite a few reasons to invest in an Excellent coach, but the downside is the cost:</t>
  </si>
  <si>
    <t>Excellent trainers are expensive. Here's some examples for you, comparing candidates with similar XP changed into Solid coaches instead.</t>
  </si>
  <si>
    <t>Solid Trainer</t>
  </si>
  <si>
    <t>Excellent Trainer</t>
  </si>
  <si>
    <t>Solid XP</t>
  </si>
  <si>
    <t>681800-794000</t>
  </si>
  <si>
    <t>N/A</t>
  </si>
  <si>
    <t>Excellent XP</t>
  </si>
  <si>
    <t>597300-675000</t>
  </si>
  <si>
    <t>4247700-4800000</t>
  </si>
  <si>
    <t>Formid XP</t>
  </si>
  <si>
    <t>527300-592000</t>
  </si>
  <si>
    <t>3750000-4210000</t>
  </si>
  <si>
    <t>OS XP</t>
  </si>
  <si>
    <t>475300-527000</t>
  </si>
  <si>
    <t>3380100-3750000</t>
  </si>
  <si>
    <t>Brilliant XP</t>
  </si>
  <si>
    <t>438300-465500</t>
  </si>
  <si>
    <t>3116700-3310200</t>
  </si>
  <si>
    <t>Magnif XP</t>
  </si>
  <si>
    <t>394700-430000</t>
  </si>
  <si>
    <t>2806800-3100000</t>
  </si>
  <si>
    <t>~ prices are in Euros</t>
  </si>
  <si>
    <t>In other words, as XP goes up, the price comes down, which is really quite critical when looking at Excellent trainers from an economic standpoint. You can find a more complete list here: (http://www.hattrickinfo.com/en/coach/106/#105) or alternatively, you can 'change coach' (right up to the last click) and see the price yourself.</t>
  </si>
  <si>
    <t>And lastly, many U20 managers would prefer Excellent trainers for their budding prospects. This is one of the great uses of Excellent trainers.</t>
  </si>
  <si>
    <t>A couple of notes:</t>
  </si>
  <si>
    <t>Changing trainer can be a strategic decision. Give some thought to the type of mindedness of your new coach, and how you could surprise your opponents with a switch.</t>
  </si>
  <si>
    <t>Also, the timing is somewhat important. The best time to switch coaches, if you 'require him for the new season', is directly after the first Cup match and before the first daily update following the match. That way you'll get the very most out of him, in terms of longevity.</t>
  </si>
  <si>
    <t>In general, you ideally want a new coach when he'll be of most use to you, whether that's to survive in a tough division, or to go for the championship. If you'll relegate anyway (or promote!), or if you can tread water without switching coaches, then there may be a more sensible time to switch in the future.</t>
  </si>
  <si>
    <t>But most of all, enjoy Hattrick!</t>
  </si>
  <si>
    <t>Links:</t>
  </si>
  <si>
    <t>Zorba's Unwritten Manual on Coaches: (15172393.17)</t>
  </si>
  <si>
    <t>*Link to a survey on Coach Levels vs Form: (http://survey.hagonline.org/result/) Translated: (15172393.575)</t>
  </si>
  <si>
    <t>McGragory</t>
  </si>
  <si>
    <t>Comisiones-Sueldos1º</t>
  </si>
  <si>
    <t>Sueldos 1ºSem</t>
  </si>
  <si>
    <t>Sueldo 1Sem</t>
  </si>
  <si>
    <t>Baets</t>
  </si>
  <si>
    <t>Deak</t>
  </si>
  <si>
    <t>Beneficio Acum</t>
  </si>
  <si>
    <t>Di renzo</t>
  </si>
  <si>
    <t>Novak</t>
  </si>
  <si>
    <t>22-05-2010 (5/42)</t>
  </si>
  <si>
    <t>El club cambió de dueño cuando quetuo tomó el control y lo renombró moles de grana.</t>
  </si>
  <si>
    <t>10-04-2010 (15/41)</t>
  </si>
  <si>
    <r>
      <t>Imperi Inca CF</t>
    </r>
    <r>
      <rPr>
        <sz val="8"/>
        <color rgb="FF666666"/>
        <rFont val="Verdana"/>
        <family val="2"/>
      </rPr>
      <t> quedó 6º del grupo </t>
    </r>
    <r>
      <rPr>
        <sz val="8"/>
        <color rgb="FF3F7137"/>
        <rFont val="Verdana"/>
        <family val="2"/>
      </rPr>
      <t>XI.1928</t>
    </r>
    <r>
      <rPr>
        <sz val="8"/>
        <color rgb="FF666666"/>
        <rFont val="Verdana"/>
        <family val="2"/>
      </rPr>
      <t> en la 29ª temporada.</t>
    </r>
  </si>
  <si>
    <t>19-12-2009 (15/40)</t>
  </si>
  <si>
    <r>
      <t>Imperi Inca CF</t>
    </r>
    <r>
      <rPr>
        <sz val="8"/>
        <color rgb="FF666666"/>
        <rFont val="Verdana"/>
        <family val="2"/>
      </rPr>
      <t> quedó 8º del grupo </t>
    </r>
    <r>
      <rPr>
        <sz val="8"/>
        <color rgb="FF3F7137"/>
        <rFont val="Verdana"/>
        <family val="2"/>
      </rPr>
      <t>VIII.1342</t>
    </r>
    <r>
      <rPr>
        <sz val="8"/>
        <color rgb="FF666666"/>
        <rFont val="Verdana"/>
        <family val="2"/>
      </rPr>
      <t> en la 28ª temporada.</t>
    </r>
  </si>
  <si>
    <t>14-12-2009 (15/40)</t>
  </si>
  <si>
    <t>El equipo descendió debido a la limpieza de bots.</t>
  </si>
  <si>
    <t>09-09-2009 (1/40)</t>
  </si>
  <si>
    <t>El equipo fue eliminado de la copa, en la ronda 1 de la temporada 28.</t>
  </si>
  <si>
    <t>22-08-2009 (14/39)</t>
  </si>
  <si>
    <r>
      <t>Imperi Inca CF</t>
    </r>
    <r>
      <rPr>
        <sz val="8"/>
        <color rgb="FF666666"/>
        <rFont val="Verdana"/>
        <family val="2"/>
      </rPr>
      <t> quedó 8º del grupo </t>
    </r>
    <r>
      <rPr>
        <sz val="8"/>
        <color rgb="FF3F7137"/>
        <rFont val="Verdana"/>
        <family val="2"/>
      </rPr>
      <t>VII.866</t>
    </r>
    <r>
      <rPr>
        <sz val="8"/>
        <color rgb="FF666666"/>
        <rFont val="Verdana"/>
        <family val="2"/>
      </rPr>
      <t> en la 27ª temporada.</t>
    </r>
  </si>
  <si>
    <t>20-05-2009 (1/39)</t>
  </si>
  <si>
    <t>El equipo fue eliminado de la copa, en la ronda 1 de la temporada 27.</t>
  </si>
  <si>
    <t>02-05-2009 (14/38)</t>
  </si>
  <si>
    <r>
      <t>Imperi Inca CF</t>
    </r>
    <r>
      <rPr>
        <sz val="8"/>
        <color rgb="FF666666"/>
        <rFont val="Verdana"/>
        <family val="2"/>
      </rPr>
      <t> quedó 8º del grupo </t>
    </r>
    <r>
      <rPr>
        <sz val="8"/>
        <color rgb="FF3F7137"/>
        <rFont val="Verdana"/>
        <family val="2"/>
      </rPr>
      <t>VI.756</t>
    </r>
    <r>
      <rPr>
        <sz val="8"/>
        <color rgb="FF666666"/>
        <rFont val="Verdana"/>
        <family val="2"/>
      </rPr>
      <t> en la 26ª temporada.</t>
    </r>
  </si>
  <si>
    <t>28-01-2009 (1/38)</t>
  </si>
  <si>
    <t>El equipo fue eliminado de la copa, en la ronda 1 de la temporada 26.</t>
  </si>
  <si>
    <t>10-01-2009 (14/37)</t>
  </si>
  <si>
    <r>
      <t>Imperi Inca CF</t>
    </r>
    <r>
      <rPr>
        <sz val="8"/>
        <color rgb="FF666666"/>
        <rFont val="Verdana"/>
        <family val="2"/>
      </rPr>
      <t> quedó 1º del grupo </t>
    </r>
    <r>
      <rPr>
        <sz val="8"/>
        <color rgb="FF3F7137"/>
        <rFont val="Verdana"/>
        <family val="2"/>
      </rPr>
      <t>VII.417</t>
    </r>
    <r>
      <rPr>
        <sz val="8"/>
        <color rgb="FF666666"/>
        <rFont val="Verdana"/>
        <family val="2"/>
      </rPr>
      <t> en la 25ª temporada.</t>
    </r>
  </si>
  <si>
    <t>15-10-2008 (2/37)</t>
  </si>
  <si>
    <t>El equipo fue eliminado de la copa, en la ronda 2 de la temporada 25.</t>
  </si>
  <si>
    <t>20-09-2008 (14/36)</t>
  </si>
  <si>
    <r>
      <t>Imperi Inca CF</t>
    </r>
    <r>
      <rPr>
        <sz val="8"/>
        <color rgb="FF666666"/>
        <rFont val="Verdana"/>
        <family val="2"/>
      </rPr>
      <t> quedó 7º del grupo </t>
    </r>
    <r>
      <rPr>
        <sz val="8"/>
        <color rgb="FF3F7137"/>
        <rFont val="Verdana"/>
        <family val="2"/>
      </rPr>
      <t>VI.233</t>
    </r>
    <r>
      <rPr>
        <sz val="8"/>
        <color rgb="FF666666"/>
        <rFont val="Verdana"/>
        <family val="2"/>
      </rPr>
      <t> en la 24ª temporada.</t>
    </r>
  </si>
  <si>
    <t>18-06-2008 (1/36)</t>
  </si>
  <si>
    <t>El equipo fue eliminado de la copa, en la ronda 1 de la temporada 24.</t>
  </si>
  <si>
    <t>31-05-2008 (14/35)</t>
  </si>
  <si>
    <r>
      <t>Imperi Inca CF</t>
    </r>
    <r>
      <rPr>
        <sz val="8"/>
        <color rgb="FF666666"/>
        <rFont val="Verdana"/>
        <family val="2"/>
      </rPr>
      <t> quedó 1º del grupo </t>
    </r>
    <r>
      <rPr>
        <sz val="8"/>
        <color rgb="FF3F7137"/>
        <rFont val="Verdana"/>
        <family val="2"/>
      </rPr>
      <t>VII.2</t>
    </r>
    <r>
      <rPr>
        <sz val="8"/>
        <color rgb="FF666666"/>
        <rFont val="Verdana"/>
        <family val="2"/>
      </rPr>
      <t> en la 23ª temporada.</t>
    </r>
  </si>
  <si>
    <t>27-02-2008 (1/35)</t>
  </si>
  <si>
    <t>El equipo fue eliminado de la copa, en la ronda 1 de la temporada 23.</t>
  </si>
  <si>
    <t>09-02-2008 (14/34)</t>
  </si>
  <si>
    <r>
      <t>Imperi Inca CF</t>
    </r>
    <r>
      <rPr>
        <sz val="8"/>
        <color rgb="FF666666"/>
        <rFont val="Verdana"/>
        <family val="2"/>
      </rPr>
      <t> quedó 1º del grupo </t>
    </r>
    <r>
      <rPr>
        <sz val="8"/>
        <color rgb="FF3F7137"/>
        <rFont val="Verdana"/>
        <family val="2"/>
      </rPr>
      <t>VIII.1654</t>
    </r>
    <r>
      <rPr>
        <sz val="8"/>
        <color rgb="FF666666"/>
        <rFont val="Verdana"/>
        <family val="2"/>
      </rPr>
      <t> en la 22ª temporada.</t>
    </r>
  </si>
  <si>
    <t>20-10-2007 (14/33)</t>
  </si>
  <si>
    <r>
      <t>Imperi Inca CF</t>
    </r>
    <r>
      <rPr>
        <sz val="8"/>
        <color rgb="FF666666"/>
        <rFont val="Verdana"/>
        <family val="2"/>
      </rPr>
      <t> quedó 1º del grupo </t>
    </r>
    <r>
      <rPr>
        <sz val="8"/>
        <color rgb="FF3F7137"/>
        <rFont val="Verdana"/>
        <family val="2"/>
      </rPr>
      <t>IX.614</t>
    </r>
    <r>
      <rPr>
        <sz val="8"/>
        <color rgb="FF666666"/>
        <rFont val="Verdana"/>
        <family val="2"/>
      </rPr>
      <t> en la 21ª temporada.</t>
    </r>
  </si>
  <si>
    <t>30-06-2007 (14/32)</t>
  </si>
  <si>
    <r>
      <t>Imperi Inca CF</t>
    </r>
    <r>
      <rPr>
        <sz val="8"/>
        <color rgb="FF666666"/>
        <rFont val="Verdana"/>
        <family val="2"/>
      </rPr>
      <t> quedó 8º del grupo </t>
    </r>
    <r>
      <rPr>
        <sz val="8"/>
        <color rgb="FF3F7137"/>
        <rFont val="Verdana"/>
        <family val="2"/>
      </rPr>
      <t>VIII.319</t>
    </r>
    <r>
      <rPr>
        <sz val="8"/>
        <color rgb="FF666666"/>
        <rFont val="Verdana"/>
        <family val="2"/>
      </rPr>
      <t> en la 20ª temporada.</t>
    </r>
  </si>
  <si>
    <t>10-03-2007 (14/31)</t>
  </si>
  <si>
    <r>
      <t>Imperi Inca CF</t>
    </r>
    <r>
      <rPr>
        <sz val="8"/>
        <color rgb="FF666666"/>
        <rFont val="Verdana"/>
        <family val="2"/>
      </rPr>
      <t> quedó 1º del grupo </t>
    </r>
    <r>
      <rPr>
        <sz val="8"/>
        <color rgb="FF3F7137"/>
        <rFont val="Verdana"/>
        <family val="2"/>
      </rPr>
      <t>IX.1494</t>
    </r>
    <r>
      <rPr>
        <sz val="8"/>
        <color rgb="FF666666"/>
        <rFont val="Verdana"/>
        <family val="2"/>
      </rPr>
      <t> en la 19ª temporada.</t>
    </r>
  </si>
  <si>
    <t>18-11-2006 (14/30)</t>
  </si>
  <si>
    <r>
      <t>Imperi Inca CF</t>
    </r>
    <r>
      <rPr>
        <sz val="8"/>
        <color rgb="FF666666"/>
        <rFont val="Verdana"/>
        <family val="2"/>
      </rPr>
      <t> quedó 5º del grupo </t>
    </r>
    <r>
      <rPr>
        <sz val="8"/>
        <color rgb="FF3F7137"/>
        <rFont val="Verdana"/>
        <family val="2"/>
      </rPr>
      <t>IX.1494</t>
    </r>
    <r>
      <rPr>
        <sz val="8"/>
        <color rgb="FF666666"/>
        <rFont val="Verdana"/>
        <family val="2"/>
      </rPr>
      <t> en la 18ª temporada.</t>
    </r>
  </si>
  <si>
    <t>15-08-2006 (1/30)</t>
  </si>
  <si>
    <t>El club cambió de dueño cuando inca11 tomó el control y lo renombró Imperi Inca CF.</t>
  </si>
  <si>
    <t>Saez marin</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</si>
  <si>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</si>
  <si>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</si>
  <si>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</si>
  <si>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t>B/P Actividad</t>
  </si>
  <si>
    <t>B/P Jugadores</t>
  </si>
  <si>
    <t>B/P Cantera</t>
  </si>
  <si>
    <t>B/P Entrenables</t>
  </si>
  <si>
    <t>B/P Mercadeo</t>
  </si>
  <si>
    <t>ENT</t>
  </si>
  <si>
    <t>Marsalik</t>
  </si>
  <si>
    <t>Caja</t>
  </si>
  <si>
    <t>Beneficio T36</t>
  </si>
  <si>
    <t>Tomando entrenador neutro como base, la contribución es:</t>
  </si>
  <si>
    <t>Ofensivo, al ataque: entre +7,76% y +8,20%</t>
  </si>
  <si>
    <t>Ofensivo, a defensa: entre -11,38% y -12,10%</t>
  </si>
  <si>
    <t>Defensivo, al ataque: entre -11,48% y -11,56%</t>
  </si>
  <si>
    <t>Defensivo, a defensa: entre +11,97% y 12,85%</t>
  </si>
  <si>
    <t>Estos datos son 100% fiables y el intervalo es absoluto - siempre suponiendo que el predictor interno de calis es correcto.</t>
  </si>
  <si>
    <t>TORN</t>
  </si>
  <si>
    <t>Jessen</t>
  </si>
  <si>
    <t>Omacini</t>
  </si>
  <si>
    <t>PA</t>
  </si>
  <si>
    <t>Sou</t>
  </si>
  <si>
    <t>Mejean</t>
  </si>
  <si>
    <t>[q=Torn_][q=uny11]Marcas de CA espontaneo, ganando la posesión..es posible?</t>
  </si>
  <si>
    <t>Ni que sea espontaneo, no deberías perder la posesión para poder generar este evento?[/q]No, lo tienes al revés.</t>
  </si>
  <si>
    <t>Una contra puedes sacar siempre que tu rival falla una oportunidad normal. Poner la táctica CA [b]aumenta la probabilidad[/b] de sacar una contra, pero solo la aumenta si pierdes el mediocampo.[/q]</t>
  </si>
  <si>
    <t>Tripodo</t>
  </si>
  <si>
    <t>Signau</t>
  </si>
  <si>
    <t>Starzcuk</t>
  </si>
  <si>
    <t>Gauyre</t>
  </si>
  <si>
    <t>Veneau</t>
  </si>
  <si>
    <t>Paco San Roman</t>
  </si>
  <si>
    <t>Volpicelli</t>
  </si>
  <si>
    <t>Pana</t>
  </si>
  <si>
    <t>S17</t>
  </si>
  <si>
    <t>S18</t>
  </si>
  <si>
    <t>S19</t>
  </si>
  <si>
    <t>S20</t>
  </si>
  <si>
    <t>S21</t>
  </si>
  <si>
    <t>S22</t>
  </si>
  <si>
    <t>S23</t>
  </si>
  <si>
    <t>S24</t>
  </si>
  <si>
    <t>S25</t>
  </si>
  <si>
    <t>S26</t>
  </si>
  <si>
    <t>S27</t>
  </si>
  <si>
    <t>S28</t>
  </si>
  <si>
    <t>S29</t>
  </si>
  <si>
    <t>BALANCE DE SITUACION T38</t>
  </si>
  <si>
    <t>Beneficio T37</t>
  </si>
  <si>
    <t>Remodelación Estadio</t>
  </si>
  <si>
    <t>GK</t>
  </si>
  <si>
    <t>DEF</t>
  </si>
  <si>
    <t>Txantre</t>
  </si>
  <si>
    <t>andreasson</t>
  </si>
  <si>
    <t>Fichar porteros de 19, son mas baratos que el resto y durant mas años.</t>
  </si>
  <si>
    <t>Fid</t>
  </si>
  <si>
    <t>Redondo</t>
  </si>
  <si>
    <t>Iturrista</t>
  </si>
  <si>
    <t>Wolbers</t>
  </si>
  <si>
    <t>Andreasson</t>
  </si>
  <si>
    <t>Giampieri</t>
  </si>
  <si>
    <t>Astola</t>
  </si>
  <si>
    <t>Smallwood</t>
  </si>
  <si>
    <t>Gilch</t>
  </si>
  <si>
    <t>Adeeb</t>
  </si>
  <si>
    <t>Schenkel</t>
  </si>
  <si>
    <t>Hermosilla</t>
  </si>
  <si>
    <t>Liderage bueno</t>
  </si>
  <si>
    <t>Precio Maximo Pelado en experiencia</t>
  </si>
  <si>
    <t>Vara</t>
  </si>
  <si>
    <t>Carneiro</t>
  </si>
  <si>
    <t>Volvcski</t>
  </si>
  <si>
    <t>Jan Biesma</t>
  </si>
  <si>
    <t>Eggstedt</t>
  </si>
  <si>
    <t>Garrido</t>
  </si>
  <si>
    <t>Ciuhat</t>
  </si>
  <si>
    <t>P. Beltran</t>
  </si>
  <si>
    <t>Neulinger</t>
  </si>
  <si>
    <t>Gudev</t>
  </si>
  <si>
    <t>S30</t>
  </si>
  <si>
    <t>S31</t>
  </si>
  <si>
    <t>S32</t>
  </si>
  <si>
    <t>S33</t>
  </si>
  <si>
    <t>S34</t>
  </si>
  <si>
    <t>S35</t>
  </si>
  <si>
    <t>S36</t>
  </si>
  <si>
    <t>S37</t>
  </si>
  <si>
    <t>S38</t>
  </si>
  <si>
    <t>S39</t>
  </si>
  <si>
    <t>S40</t>
  </si>
  <si>
    <t>S41</t>
  </si>
  <si>
    <t>S42</t>
  </si>
  <si>
    <t>S43</t>
  </si>
  <si>
    <t>S44</t>
  </si>
  <si>
    <t>S45</t>
  </si>
  <si>
    <t>S46</t>
  </si>
  <si>
    <t>S47</t>
  </si>
  <si>
    <t>S48</t>
  </si>
  <si>
    <t>Creativitat</t>
  </si>
  <si>
    <t>VII.59</t>
  </si>
  <si>
    <t>Spinza</t>
  </si>
  <si>
    <t>Beneficio T38</t>
  </si>
  <si>
    <t>Transferencias de jugadores T39</t>
  </si>
  <si>
    <t>Transferencias de jugadores T38</t>
  </si>
  <si>
    <t>Titanic</t>
  </si>
  <si>
    <t>Mythical</t>
  </si>
  <si>
    <t>Magical</t>
  </si>
  <si>
    <t>Utopian</t>
  </si>
  <si>
    <t>Divine</t>
  </si>
  <si>
    <t>EXT</t>
  </si>
  <si>
    <t>Sem</t>
  </si>
  <si>
    <t>Zamarro</t>
  </si>
  <si>
    <t>Baña</t>
  </si>
  <si>
    <t>Casademunt</t>
  </si>
  <si>
    <t>Baraja</t>
  </si>
  <si>
    <t>Vidal</t>
  </si>
  <si>
    <t>Feo</t>
  </si>
  <si>
    <t>Osorio</t>
  </si>
  <si>
    <t>BALANCE DE SITUACION T39</t>
  </si>
  <si>
    <t>Lammers</t>
  </si>
  <si>
    <t>Cenoura</t>
  </si>
  <si>
    <t>1. Con una formación en nivel excelente no hay confusión (lo dicen las reglas, así que nada nuevo).</t>
  </si>
  <si>
    <t>2. Con una formación en nivel bueno puede haber confusión, pero con experiencia de equipo en bueno o superior es del 1% o menor.</t>
  </si>
  <si>
    <t>3. Con una formación en nivel bueno puede haber confusión, y con experiencia de equipo por debajo de insuficiente puede llegar al 4%.</t>
  </si>
  <si>
    <t>4. Con una formación en nivel aceptable puede haber confusión, y ni con experiencia de equipo en al menos destacado la evitas y puede llegar a un 20%.</t>
  </si>
  <si>
    <t>ANUNCIOS DE FEDERACIONES</t>
  </si>
  <si>
    <t>Para anunciarla se abrirá un hilo titulado "[Fed] Nombre de la Federación". </t>
  </si>
  <si>
    <t>Los anuncios de Federaciones se cerrarán en el mismo momento en el que sean posteados en el foro correspondiente para evitar el bumping de los mismos.</t>
  </si>
  <si>
    <r>
      <t>Cada </t>
    </r>
    <r>
      <rPr>
        <b/>
        <i/>
        <sz val="8"/>
        <color rgb="FF000000"/>
        <rFont val="Verdana"/>
        <family val="2"/>
      </rPr>
      <t>fundador</t>
    </r>
    <r>
      <rPr>
        <i/>
        <sz val="8"/>
        <color rgb="FF000000"/>
        <rFont val="Verdana"/>
        <family val="2"/>
      </rPr>
      <t> puede anuciar su federación </t>
    </r>
    <r>
      <rPr>
        <b/>
        <i/>
        <sz val="8"/>
        <color rgb="FF000000"/>
        <rFont val="Verdana"/>
        <family val="2"/>
      </rPr>
      <t>una sola vez, y en los 15 días</t>
    </r>
    <r>
      <rPr>
        <i/>
        <sz val="8"/>
        <color rgb="FF000000"/>
        <rFont val="Verdana"/>
        <family val="2"/>
      </rPr>
      <t xml:space="preserve"> siguientes a su creación, </t>
    </r>
  </si>
  <si>
    <t xml:space="preserve">en el foro nacional de su país de origen yuna sola vez en el foro global (en inglés) o si se prefiere en el foro global (Español). </t>
  </si>
  <si>
    <t>También, en circunstancias excepcionales, se puede usar un segundo o tercer país que tenga una clara relevancia con el objetivo de la federación.</t>
  </si>
  <si>
    <t>Cianelli</t>
  </si>
  <si>
    <t>Erbiti</t>
  </si>
  <si>
    <t>Giro</t>
  </si>
  <si>
    <t>Knuff</t>
  </si>
  <si>
    <t>% Re</t>
  </si>
  <si>
    <t>CAN</t>
  </si>
  <si>
    <t>Ingresos</t>
  </si>
  <si>
    <t>Patrimonio</t>
  </si>
  <si>
    <t xml:space="preserve">Pagos </t>
  </si>
  <si>
    <t>Rem Estadio</t>
  </si>
  <si>
    <t>Sueldo</t>
  </si>
  <si>
    <t>Comisión</t>
  </si>
  <si>
    <t>Fventa</t>
  </si>
  <si>
    <t>ByP Sem</t>
  </si>
  <si>
    <t>ValorCont</t>
  </si>
  <si>
    <t>Fcom</t>
  </si>
  <si>
    <t>Sarbe</t>
  </si>
  <si>
    <t>Fikias</t>
  </si>
  <si>
    <t>Cacabelos</t>
  </si>
  <si>
    <t>Volvscki</t>
  </si>
  <si>
    <t>Baggessen</t>
  </si>
  <si>
    <t>A part dels atacs bàsics, també poden succeir "esdeveniments especials". Els esdeveniments especials depenen de les qualitats dels jugadors; cosa que fa que sigui una bona estratègia compondre una plantilla amb jugadors amb especialitats equilibrades.</t>
  </si>
  <si>
    <t>Quan un esdeveniment especial ocorre, la possibilitat que el pateixis és directament proporcional a la possessió que tinguis (55% de possessió és el mateix que 55% de possibilitats). Però recorda que has de tenir els jugadors amb els atributs necessaris per a poder tenir un esdeveniment.</t>
  </si>
  <si>
    <t>Hi ha dos tipus d’esdeveniments especials: Els esdeveniments de gol (els més comuns) poden donar-te atacs addicionals i esdeveniments de climatologia (menys comuns) que afecten a l’actuació individual dels jugadors per la resta de partit. Per cada esdeveniment especial que succeeixi al partit, la possibilitat que un altre es produeixi minva.</t>
  </si>
  <si>
    <t>Esdeveniments climatològics</t>
  </si>
  <si>
    <t>Certes especialitats s'adapten millor a certes condicions climatològiques. Si passa un esdeveniment d’aquest tipus, el rendiment d'un cert jugador es veurà afectat pel que fa a la resta del partit:</t>
  </si>
  <si>
    <r>
      <t>Els jugadors </t>
    </r>
    <r>
      <rPr>
        <b/>
        <sz val="8"/>
        <color rgb="FF000000"/>
        <rFont val="Verdana"/>
        <family val="2"/>
      </rPr>
      <t>Tècnics</t>
    </r>
    <r>
      <rPr>
        <sz val="8"/>
        <color rgb="FF000000"/>
        <rFont val="Verdana"/>
        <family val="2"/>
      </rPr>
      <t> guanyen Anotació i Creativitat quan el dia és solejat, i en perden en dies plujosos.</t>
    </r>
  </si>
  <si>
    <r>
      <t>Els jugadors </t>
    </r>
    <r>
      <rPr>
        <b/>
        <sz val="8"/>
        <color rgb="FF000000"/>
        <rFont val="Verdana"/>
        <family val="2"/>
      </rPr>
      <t>Potents</t>
    </r>
    <r>
      <rPr>
        <sz val="8"/>
        <color rgb="FF000000"/>
        <rFont val="Verdana"/>
        <family val="2"/>
      </rPr>
      <t> guanyen Anotació, Defensa i Creativitat sota pluja, i perden Anotació els dies amb sol, alhora que es notaran més cansats.</t>
    </r>
  </si>
  <si>
    <r>
      <t>Els jugadors </t>
    </r>
    <r>
      <rPr>
        <b/>
        <sz val="8"/>
        <color rgb="FF000000"/>
        <rFont val="Verdana"/>
        <family val="2"/>
      </rPr>
      <t>Ràpids</t>
    </r>
    <r>
      <rPr>
        <sz val="8"/>
        <color rgb="FF000000"/>
        <rFont val="Verdana"/>
        <family val="2"/>
      </rPr>
      <t> perden Anotació i Defensa sota la pluja. També perden Defensa els dies solejats.</t>
    </r>
  </si>
  <si>
    <t>Si es produeix un esdeveniment climatològic rebràs informació al reportatge del partit, i la valoració del rendiment del jugador (les estrelles) es veurà també afectada, ja que l'esdeveniment afecta al rendiment del jugador.</t>
  </si>
  <si>
    <t>Esdeveniments de gol</t>
  </si>
  <si>
    <t>Les especialitats (i altres atributs) poden aportar-te atacs addicionals. Afegint a la llista que exposarem a continuació, el jugador que disposi de l’ocasió de marcar (freqüentment, però no sempre, el mateix jugador que crea l’oportunitat) també necessitarà anotació per fer pujar el gol al marcador.</t>
  </si>
  <si>
    <r>
      <t>Els jugadors </t>
    </r>
    <r>
      <rPr>
        <b/>
        <sz val="8"/>
        <color rgb="FF000000"/>
        <rFont val="Verdana"/>
        <family val="2"/>
      </rPr>
      <t>Imprevisibles</t>
    </r>
    <r>
      <rPr>
        <sz val="8"/>
        <color rgb="FF000000"/>
        <rFont val="Verdana"/>
        <family val="2"/>
      </rPr>
      <t> poden emprar la seva habilitat en passades per crear una passada inesperada, i la seva habilitat d’anotació per interceptar la pilota. Però, la seva imprevisió pot causar oportunitats de gol en contra no desitjades. Si un defensa o migcampista imprevisible té un nivell de defensa prou baix, poden realitzar un error temerari que doni al rival l’oportunitat de marcar.</t>
    </r>
  </si>
  <si>
    <r>
      <t>Els extrems i davanters </t>
    </r>
    <r>
      <rPr>
        <b/>
        <sz val="8"/>
        <color rgb="FF000000"/>
        <rFont val="Verdana"/>
        <family val="2"/>
      </rPr>
      <t>Ràpids</t>
    </r>
    <r>
      <rPr>
        <sz val="8"/>
        <color rgb="FF000000"/>
        <rFont val="Verdana"/>
        <family val="2"/>
      </rPr>
      <t> poden crear una ocasió utilitzant la seva punta de velocitat. Això pot ser contrarestat per l’equip contrari utilitzant un jugador defensiu (defensa o migcampista) que també sigui ràpid, o tingui suficient nivell de defensa per mantenir-lo a ratlla.</t>
    </r>
  </si>
  <si>
    <r>
      <t>Els extrems i davanters </t>
    </r>
    <r>
      <rPr>
        <b/>
        <sz val="8"/>
        <color rgb="FF000000"/>
        <rFont val="Verdana"/>
        <family val="2"/>
      </rPr>
      <t>Tècnics</t>
    </r>
    <r>
      <rPr>
        <sz val="8"/>
        <color rgb="FF000000"/>
        <rFont val="Verdana"/>
        <family val="2"/>
      </rPr>
      <t> poden crear oportunitats si un defensa rival o migcampista és especialista en el joc aeri.</t>
    </r>
  </si>
  <si>
    <r>
      <t>Els </t>
    </r>
    <r>
      <rPr>
        <b/>
        <sz val="8"/>
        <color rgb="FF000000"/>
        <rFont val="Verdana"/>
        <family val="2"/>
      </rPr>
      <t>Extrems</t>
    </r>
    <r>
      <rPr>
        <sz val="8"/>
        <color rgb="FF000000"/>
        <rFont val="Verdana"/>
        <family val="2"/>
      </rPr>
      <t> amb suficient habilitat d’extrem poden crear ocasions que han de finalitzar-se gràcies a un altre extrem o bé un davanter. Si aquest altre jugador és especialista en el joc aeri o té prou habilitat d’anotació, li serà més fàcil convertir el remat en gol.</t>
    </r>
  </si>
  <si>
    <r>
      <t>Còrner</t>
    </r>
    <r>
      <rPr>
        <sz val="8"/>
        <color rgb="FF000000"/>
        <rFont val="Verdana"/>
        <family val="2"/>
      </rPr>
      <t>: Per marcar en un llançament des de la cantonada, el llançador necessitarà tenir suficient pilota aturada i el jugador receptor de la pilota, anotació. Quants més membres del teu equip especialistes en el joc aeri tinguis al teu equip, i menys el teu rival, més possibilitats de marcar tindràs. No tenir jugadors amb aquesta especialitat convertirà el teu equip en un de molt dèbil a l'hora de defensar-se en els serveis de cantonada, de la mateixa manera succeirà a l'hora de marcar en els que es produeixin al teu favor.</t>
    </r>
  </si>
  <si>
    <r>
      <t>Experiència:</t>
    </r>
    <r>
      <rPr>
        <sz val="8"/>
        <color rgb="FF000000"/>
        <rFont val="Verdana"/>
        <family val="2"/>
      </rPr>
      <t> Els extrems i davanters experimentats poden marcar emprant la seva experiència. De la mateixa manera, els defenses i migcampistes inexperts poden donar oportunitats extra als oponents.</t>
    </r>
  </si>
  <si>
    <r>
      <t>Fatiga:</t>
    </r>
    <r>
      <rPr>
        <sz val="8"/>
        <color rgb="FF000000"/>
        <rFont val="Verdana"/>
        <family val="2"/>
      </rPr>
      <t> Els defenses i migcampistes cansats poden errar. A menys que l’atacant rival estigui igualment fatigat, això pot crear una oportunitat per l’oponent.</t>
    </r>
  </si>
  <si>
    <t>Altres esdeveniments de partits adicionals</t>
  </si>
  <si>
    <t>Hi ha també alguns esdeveniments addicionals que poden passar durant un partit. Les oportunitats d'obtenir aquest esdeveniment no depenen del mig camp, per tant les oportunitats no incrementen si domines el mig camp.</t>
  </si>
  <si>
    <r>
      <t>Contraatac:</t>
    </r>
    <r>
      <rPr>
        <sz val="8"/>
        <color rgb="FF000000"/>
        <rFont val="Verdana"/>
        <family val="2"/>
      </rPr>
      <t> Encara que no utilitzis la tàctica del contraatac hi ha una petita oportunitat que el teu equip aconsegueixi fer-ne un. Aquest contraatac "d'independència tàctica" no requereix que el teu equip tingui un mig camp inferior (cosa que sí que és imprescindible al contraatac de tàctica). Llegeix el capítol sobre tàctiques per més informació sobre els contraatacs.</t>
    </r>
  </si>
  <si>
    <r>
      <t>Xuts llunyans:</t>
    </r>
    <r>
      <rPr>
        <sz val="8"/>
        <color rgb="FF000000"/>
        <rFont val="Verdana"/>
        <family val="2"/>
      </rPr>
      <t> Encara que no utilitzis la tàctica de xuts llunyans hi ha una petita oportunitat que el teu equip generi un atac de xut llunyà. Llegeix el capítol de tàctiques per més informació sobre els xuts llunyans.</t>
    </r>
  </si>
  <si>
    <t>S49</t>
  </si>
  <si>
    <t>S50</t>
  </si>
  <si>
    <t>S51</t>
  </si>
  <si>
    <t>S52</t>
  </si>
  <si>
    <t>S53</t>
  </si>
  <si>
    <t>S54</t>
  </si>
  <si>
    <t>Patro</t>
  </si>
  <si>
    <t>Aficio</t>
  </si>
  <si>
    <t>si lees por aquí → (/Help/Rules/PlayerAttributes.aspx) encontrarás esto:</t>
  </si>
  <si>
    <t>Tras cambiarse la forma actual durante el entrenamiento, puede que la forma oculta cambie para cada jugador. Todos tienen la misma probabilidad de que su forma oculta cambie, y no hay nada que puedas hacer para influir en este cambio. Sin embargo, cuando se decide que la forma oculta de un jugador cambiará, hay ciertos factores que influyen en la nueva forma oculta:</t>
  </si>
  <si>
    <t>* Si el jugador ha participado en algún partido durante la semana. ¡Esto es muy importante!</t>
  </si>
  <si>
    <t>* Intensidad de entrenamiento: cuanto mayor sea, mejor forma, en general.</t>
  </si>
  <si>
    <t>* Tu entrenador: cuanto mayor sea su nivel de entrenador, mejor forma en general.</t>
  </si>
  <si>
    <t>* Entrenadores auxiliares: los auxiliares ayudan también a mejorar la forma.</t>
  </si>
  <si>
    <t>FORMA!!!!</t>
  </si>
  <si>
    <t>Precio</t>
  </si>
  <si>
    <t>Step</t>
  </si>
  <si>
    <t>B/P Step</t>
  </si>
  <si>
    <t>S</t>
  </si>
  <si>
    <t>Pereira</t>
  </si>
  <si>
    <t>Mercadeo y Step</t>
  </si>
  <si>
    <t>Giotto</t>
  </si>
  <si>
    <t>Tatarciuc</t>
  </si>
  <si>
    <t>Bruneau</t>
  </si>
  <si>
    <t>En cuanto a los penales, lo debo haber comentado muchas veces en esto foro también, ya, pero simplemente no se puede hacer una fórmula como quieres tú. Cualquier fórmula de ese tipo dará resultados malos.</t>
  </si>
  <si>
    <r>
      <t>_________________________________________ </t>
    </r>
    <r>
      <rPr>
        <b/>
        <u/>
        <sz val="8"/>
        <color rgb="FF000000"/>
        <rFont val="Verdana"/>
        <family val="2"/>
      </rPr>
      <t>_</t>
    </r>
  </si>
  <si>
    <r>
      <t>|</t>
    </r>
    <r>
      <rPr>
        <u/>
        <sz val="8"/>
        <color rgb="FF000000"/>
        <rFont val="Verdana"/>
        <family val="2"/>
      </rPr>
      <t>_</t>
    </r>
    <r>
      <rPr>
        <b/>
        <u/>
        <sz val="8"/>
        <color rgb="FF000000"/>
        <rFont val="Verdana"/>
        <family val="2"/>
      </rPr>
      <t>Espiritu\HL</t>
    </r>
    <r>
      <rPr>
        <u/>
        <sz val="8"/>
        <color rgb="FF000000"/>
        <rFont val="Verdana"/>
        <family val="2"/>
      </rPr>
      <t>_|_</t>
    </r>
    <r>
      <rPr>
        <b/>
        <u/>
        <sz val="8"/>
        <color rgb="FF000000"/>
        <rFont val="Verdana"/>
        <family val="2"/>
      </rPr>
      <t>7 o 6</t>
    </r>
    <r>
      <rPr>
        <u/>
        <sz val="8"/>
        <color rgb="FF000000"/>
        <rFont val="Verdana"/>
        <family val="2"/>
      </rPr>
      <t>_|_‚</t>
    </r>
    <r>
      <rPr>
        <b/>
        <u/>
        <sz val="8"/>
        <color rgb="FF000000"/>
        <rFont val="Verdana"/>
        <family val="2"/>
      </rPr>
      <t>5</t>
    </r>
    <r>
      <rPr>
        <u/>
        <sz val="8"/>
        <color rgb="FF000000"/>
        <rFont val="Verdana"/>
        <family val="2"/>
      </rPr>
      <t>_‚|_‚</t>
    </r>
    <r>
      <rPr>
        <b/>
        <u/>
        <sz val="8"/>
        <color rgb="FF000000"/>
        <rFont val="Verdana"/>
        <family val="2"/>
      </rPr>
      <t>4</t>
    </r>
    <r>
      <rPr>
        <u/>
        <sz val="8"/>
        <color rgb="FF000000"/>
        <rFont val="Verdana"/>
        <family val="2"/>
      </rPr>
      <t>_‚|_‚</t>
    </r>
    <r>
      <rPr>
        <b/>
        <u/>
        <sz val="8"/>
        <color rgb="FF000000"/>
        <rFont val="Verdana"/>
        <family val="2"/>
      </rPr>
      <t>3</t>
    </r>
    <r>
      <rPr>
        <u/>
        <sz val="8"/>
        <color rgb="FF000000"/>
        <rFont val="Verdana"/>
        <family val="2"/>
      </rPr>
      <t>_‚|_‚</t>
    </r>
    <r>
      <rPr>
        <b/>
        <u/>
        <sz val="8"/>
        <color rgb="FF000000"/>
        <rFont val="Verdana"/>
        <family val="2"/>
      </rPr>
      <t>2</t>
    </r>
    <r>
      <rPr>
        <u/>
        <sz val="8"/>
        <color rgb="FF000000"/>
        <rFont val="Verdana"/>
        <family val="2"/>
      </rPr>
      <t>_‚|_</t>
    </r>
    <r>
      <rPr>
        <b/>
        <u/>
        <sz val="8"/>
        <color rgb="FF000000"/>
        <rFont val="Verdana"/>
        <family val="2"/>
      </rPr>
      <t>1</t>
    </r>
    <r>
      <rPr>
        <u/>
        <sz val="8"/>
        <color rgb="FF000000"/>
        <rFont val="Verdana"/>
        <family val="2"/>
      </rPr>
      <t>_</t>
    </r>
    <r>
      <rPr>
        <sz val="8"/>
        <color rgb="FF000000"/>
        <rFont val="Verdana"/>
        <family val="2"/>
      </rPr>
      <t>|</t>
    </r>
  </si>
  <si>
    <r>
      <t>|</t>
    </r>
    <r>
      <rPr>
        <u/>
        <sz val="8"/>
        <color rgb="FF000000"/>
        <rFont val="Verdana"/>
        <family val="2"/>
      </rPr>
      <t>____</t>
    </r>
    <r>
      <rPr>
        <b/>
        <u/>
        <sz val="8"/>
        <color rgb="FF000000"/>
        <rFont val="Verdana"/>
        <family val="2"/>
      </rPr>
      <t>_10</t>
    </r>
    <r>
      <rPr>
        <u/>
        <sz val="8"/>
        <color rgb="FF000000"/>
        <rFont val="Verdana"/>
        <family val="2"/>
      </rPr>
      <t>____</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0</t>
    </r>
    <r>
      <rPr>
        <b/>
        <u/>
        <sz val="8"/>
        <color rgb="FF000000"/>
        <rFont val="Verdana"/>
        <family val="2"/>
      </rPr>
      <t>_ _</t>
    </r>
    <r>
      <rPr>
        <u/>
        <sz val="8"/>
        <color rgb="FF000000"/>
        <rFont val="Verdana"/>
        <family val="2"/>
      </rPr>
      <t>|_‚0 _|_‚0 _|_‚0 _|_‚0 _|_0</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</si>
  <si>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_9</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3</t>
    </r>
    <r>
      <rPr>
        <b/>
        <u/>
        <sz val="8"/>
        <color rgb="FF000000"/>
        <rFont val="Verdana"/>
        <family val="2"/>
      </rPr>
      <t>_ _</t>
    </r>
    <r>
      <rPr>
        <u/>
        <sz val="8"/>
        <color rgb="FF000000"/>
        <rFont val="Verdana"/>
        <family val="2"/>
      </rPr>
      <t>|_‚1 _|_‚1 _|_‚1 _|_‚1 _|_1</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</si>
  <si>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_8</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8</t>
    </r>
    <r>
      <rPr>
        <b/>
        <u/>
        <sz val="8"/>
        <color rgb="FF000000"/>
        <rFont val="Verdana"/>
        <family val="2"/>
      </rPr>
      <t>_ _</t>
    </r>
    <r>
      <rPr>
        <u/>
        <sz val="8"/>
        <color rgb="FF000000"/>
        <rFont val="Verdana"/>
        <family val="2"/>
      </rPr>
      <t>|_‚6 _|_‚4 _|_‚3 _|_‚2 _|_2</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</si>
  <si>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_7</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15</t>
    </r>
    <r>
      <rPr>
        <b/>
        <u/>
        <sz val="8"/>
        <color rgb="FF000000"/>
        <rFont val="Verdana"/>
        <family val="2"/>
      </rPr>
      <t>__</t>
    </r>
    <r>
      <rPr>
        <u/>
        <sz val="8"/>
        <color rgb="FF000000"/>
        <rFont val="Verdana"/>
        <family val="2"/>
      </rPr>
      <t>|_12_|_‚9 _|_‚5 _|_‚3 _|_3</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</si>
  <si>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_6</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28</t>
    </r>
    <r>
      <rPr>
        <b/>
        <u/>
        <sz val="8"/>
        <color rgb="FF000000"/>
        <rFont val="Verdana"/>
        <family val="2"/>
      </rPr>
      <t>__</t>
    </r>
    <r>
      <rPr>
        <u/>
        <sz val="8"/>
        <color rgb="FF000000"/>
        <rFont val="Verdana"/>
        <family val="2"/>
      </rPr>
      <t>|_22_|_16_|_10_|_‚5 _|_4</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</si>
  <si>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_5</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61</t>
    </r>
    <r>
      <rPr>
        <b/>
        <u/>
        <sz val="8"/>
        <color rgb="FF000000"/>
        <rFont val="Verdana"/>
        <family val="2"/>
      </rPr>
      <t>__</t>
    </r>
    <r>
      <rPr>
        <u/>
        <sz val="8"/>
        <color rgb="FF000000"/>
        <rFont val="Verdana"/>
        <family val="2"/>
      </rPr>
      <t>|_48_|_36_|_23_|_11_|_6</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</si>
  <si>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_4</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62</t>
    </r>
    <r>
      <rPr>
        <b/>
        <u/>
        <sz val="8"/>
        <color rgb="FF000000"/>
        <rFont val="Verdana"/>
        <family val="2"/>
      </rPr>
      <t>__</t>
    </r>
    <r>
      <rPr>
        <u/>
        <sz val="8"/>
        <color rgb="FF000000"/>
        <rFont val="Verdana"/>
        <family val="2"/>
      </rPr>
      <t>|_49_|_37_|_24_|_12_|_7</t>
    </r>
    <r>
      <rPr>
        <b/>
        <u/>
        <sz val="8"/>
        <color rgb="FF000000"/>
        <rFont val="Verdana"/>
        <family val="2"/>
      </rPr>
      <t>_</t>
    </r>
    <r>
      <rPr>
        <sz val="8"/>
        <color rgb="FF000000"/>
        <rFont val="Verdana"/>
        <family val="2"/>
      </rPr>
      <t>|</t>
    </r>
  </si>
  <si>
    <t>Las modificaciones del porcentaje del entrenamiento</t>
  </si>
  <si>
    <t>¿Para qué se baja el % de entrenamiento?</t>
  </si>
  <si>
    <t>El % de entrenamiento se baja para conseguir más espíritu de equipo. Es importante saber que una vez se vuelva a subir el % a su intensidad habitual, el espíritu volverá a bajar. Si hemos metido MOTS, al final tendremos unos 3 niveles por debajo.</t>
  </si>
  <si>
    <t>¿Cuándo debe bajarse?</t>
  </si>
  <si>
    <t>En la actualización previa al entrenamiento, el jueves a las 11:00 hora HT, en la argentina, se chequea la intensidad ó % de entrenamiento. Así que, antes de esa hora y ese día, hay que bajar el %. Hay mucha gente que cree que basta con hacerlo antes del entrenamiento, y no es así.</t>
  </si>
  <si>
    <t>¿Cuánto sube el espíritu?</t>
  </si>
  <si>
    <t>Depende de cuánto bajemos el % de entrenamiento. Se calcula que sube 1 nivel por cada 16-20% bajado. </t>
  </si>
  <si>
    <t>Si bajamos el porcentaje de entrenamiento a un 50% el aumento del espíritu puede ser de 2 y hasta 3 niveles, si lo hacemos por debajo del 20%, podemos subir 4 o 5 y si lo dejamos cercano al 0% el espíritu subirá hasta el máximo.</t>
  </si>
  <si>
    <t>¿Qué consecuencias tiene?</t>
  </si>
  <si>
    <t>Pero esto tan "bonito" tiene dos graves contrapartidas:</t>
  </si>
  <si>
    <t>- Pues para empezar, los jugadores entrenarán menos. Si bajamos hasta el 50%, los jugadores entrenarán sólo la mitad que si entrenásemos al 100%.</t>
  </si>
  <si>
    <t>- Descenso de la forma: Es el principal inconveniente. Bajando hasta el 25% no hay problemas de forma. Bajando hasta el 10%, 5%, e incluso 0%, los efectos en la forma son realmente negativos, bajando varios niveles la forma media del equipo. La bajada de forma de la mayor parte de la plantilla, algo que se hará notar, no en el entrenamiento inmediatamente siguiente, sino en los de las semanas posteriores, con bajadas generalizadas que pueden llegar a ser de hasta 3 o más niveles.</t>
  </si>
  <si>
    <t>- La posterior subida del porcentaje al nivel adecuado, es decir al 100%, provoca una bajada de espíritu que, en ciertos casos, puede llevar a nuestro espíritu a "Como en la guerra fría", algo nefasto para los siguientes partidos.</t>
  </si>
  <si>
    <t>Es por ello que esta manera de hacer subir el espíritu, sólo debe de aplicarse, y siempre sopesando bien las contraindicaciones que hemos comentado, antes del último partido de la temporada y siempre que en ese partido nos vaya algo muy importante, conseguir un ascenso o evitar un descenso de categoría. En este caso no importará la bajada posterior del espíritu pues, antes del inicio de la siguiente temporada, éste se resetea a Serenos, pero la forma... ¡ay la forma! eso no tiene remedio.</t>
  </si>
  <si>
    <t>Eventos psicológicos durante el partido</t>
  </si>
  <si>
    <t>Tirarse para atrás: </t>
  </si>
  <si>
    <t>* Este evento tiene la función de debilitar el ataque y fortalecer la defensa, (no modifica la cantidad de situaciones normales), a pesar de que no lo veremos reflejado en las calificaciones.</t>
  </si>
  <si>
    <t>* Tan sólo puede aparecer una vez el evento para el equipo, es decir, no se puede un mismo equipo tirar atrás dos veces.</t>
  </si>
  <si>
    <t>* Ambos equipos pueden sufrir el evento en el mismo partido. Si uno gana por varios goles, y su rival lo da vuelta y pasa a ganar por varios goles, ambos equipos se pueden tirar atrás.</t>
  </si>
  <si>
    <t>* La probabilidad de que el evento aparezca es la siguiente:</t>
  </si>
  <si>
    <t>+2 goles: 20% </t>
  </si>
  <si>
    <t>+3 goles: 40% </t>
  </si>
  <si>
    <t>+4 goles: 60% </t>
  </si>
  <si>
    <t>+5 goles: 80% </t>
  </si>
  <si>
    <t>+6 goles: 100% </t>
  </si>
  <si>
    <t>Confusión:</t>
  </si>
  <si>
    <t>* Es un evento que afecta al mediocampo, también a la defensa y el ataque, aunque aquí no se vea reflejado en las calificaciones.</t>
  </si>
  <si>
    <t>* Su función es "bajar la organización del equipo" a niveles más bajos.</t>
  </si>
  <si>
    <t>* La confusión aparecerá en cualquier momento del partido, y a lo largo del mismo se irá calculando a ver si baja la organización.</t>
  </si>
  <si>
    <t>* Un mismo equipo puede sufrir confusión varias veces en un mismo partido</t>
  </si>
  <si>
    <t>* Cuanto más lejos esté la formación de 4-4-2, habrá más posibilidades de que haya confusión</t>
  </si>
  <si>
    <t>* Es importante la experiencia en la formación y la experiencia total del equipo, jugando un rol fundamental en esto el capitán.</t>
  </si>
  <si>
    <t>El entrenamiento de condición esta basado por minutos (pero comienza con un 75% para los jugadores en el terreno de juego).</t>
  </si>
  <si>
    <t>Tan retorcido no lo veo.</t>
  </si>
  <si>
    <t>El concepto de que las 3 habilidades más altas sean las relevantes para el jugador ya sabemos que aplican para el ojeador cuando te informa del nivel actual de una de estas y el potencial de otra (o la misma).</t>
  </si>
  <si>
    <t>Leí a HT-Tjecken alguna vez (hace mucho ya) comentar algo de que tiene que ver con el nivel actual y el potencial general, sin dar más detalles. Ahora ya no me acuerdo de si eso fue sobre este "nivel general" o del antiguo concepto de "talento", pero de todas maneras no han dado más detalles oficiales.</t>
  </si>
  <si>
    <t>Definitivamente no puede ser una media de los 3 mejores potenciales, ni una media de todas las habilidades actuales, porque he visto casos contradictarios a esto.</t>
  </si>
  <si>
    <t>Como normalmente la media que comento yo y la que comentas tú serán parecidas para casi todos los jugadores será difícil encontrar casos que puedan probar si alguno es correcto.</t>
  </si>
  <si>
    <t>Torn_</t>
  </si>
  <si>
    <r>
      <t>Lo que he sugerido es que sea la media del nivel actual </t>
    </r>
    <r>
      <rPr>
        <b/>
        <i/>
        <sz val="8"/>
        <color rgb="FF000000"/>
        <rFont val="Verdana"/>
        <family val="2"/>
      </rPr>
      <t>y el nivel potencial</t>
    </r>
    <r>
      <rPr>
        <b/>
        <sz val="8"/>
        <color rgb="FF000000"/>
        <rFont val="Verdana"/>
        <family val="2"/>
      </rPr>
      <t xml:space="preserve">, </t>
    </r>
  </si>
  <si>
    <t xml:space="preserve">de las 3 habilidades que más potencial tienen. </t>
  </si>
  <si>
    <t>Pero también existen otras teorías posibles, como la del nivel medio de todos los potenciales.</t>
  </si>
  <si>
    <t>El partit: Tàctiques</t>
  </si>
  <si>
    <t>A cada partit pots ordenar al teu equip que utilitzi una tàctica determinada. Cada tàctica té el seu avantatge, però també algun desavantatge - ves amb compte a l'hora d'escollir. Hi ha sis tipus de tàctiques (i la normal) disponibles. Si no n'especifiques cap jugaràs en "normal".</t>
  </si>
  <si>
    <t>Nivell de tàctica</t>
  </si>
  <si>
    <t>Com de bé juguis amb una tàctica depèn del nivell de la tàctica. Aquest nivell és calculat a partir de diferents habilitats dels jugadors conjuntament amb un bonus per l'experiència de cada jugador involucrat.</t>
  </si>
  <si>
    <t>En segon lloc, l'efecte del teu nivell de tàctica també depèn de l'habilitat principal dels jugadors hi ha al camp, tant dels teus com dels del teu rival. L'habilitat principal és la més important per una certa posició al camp, veure el capítol "Jugadors: Habilitats" per més informació. Una tàctica "notable" serà més efectiva si, per exemple, la mitjana de l'habilitat principal dels teus jugadors (i la dels teus rivals) és "notable" que si la mitjana és "titànic".</t>
  </si>
  <si>
    <t>Pressió</t>
  </si>
  <si>
    <t>La tàctica "Pressió" vol dir que tots els teus jugadors pressionen als rivals i que a més prioritzaran més la destrucció dels atacs del rival que crear-ne pel seu propi equip. Pressionar pot ser una bona opció quan creguis que ets inferior i vols contenir el marcador.</t>
  </si>
  <si>
    <r>
      <t>Avantatge:</t>
    </r>
    <r>
      <rPr>
        <sz val="8"/>
        <color rgb="FF000000"/>
        <rFont val="Verdana"/>
        <family val="2"/>
      </rPr>
      <t> Pots reduir el nombre d'oportunitats (pels dos equips) durant el partit.</t>
    </r>
  </si>
  <si>
    <r>
      <t>Desavantatge:</t>
    </r>
    <r>
      <rPr>
        <sz val="8"/>
        <color rgb="FF000000"/>
        <rFont val="Verdana"/>
        <family val="2"/>
      </rPr>
      <t> La resistència dels teus jugadors disminuirà més ràpid del que és normal.</t>
    </r>
  </si>
  <si>
    <r>
      <t>Habilitats rellevants:</t>
    </r>
    <r>
      <rPr>
        <sz val="8"/>
        <color rgb="FF000000"/>
        <rFont val="Verdana"/>
        <family val="2"/>
      </rPr>
      <t> El total de l'habilitat de defensa i el total de resistència dels teus jugadors de camp determinen el teu nivell de la tàctica de pressió. Si algun jugador té l'especialitat "Potent", la seva habilitat de defensa conta el doble. Com més cansats estiguin els jugadors, menys podran pressionar als seus rivals.</t>
    </r>
  </si>
  <si>
    <t>Quan una oportunitat és evitada per un equip utilitzant la tàctica de pressionar, surt reflectit al reportatge del partit. Mai sabràs quin equip era el beneficiari d'aquesta oportunitat perduda. Si els dos equips juguen a pressionar l'efecte és, de mitjana, el doble.</t>
  </si>
  <si>
    <t>Contraatacs</t>
  </si>
  <si>
    <t>La tàctica "Contraatacs" vol dir que cedeixes deliberadament la possessió de la pilota al rival, i tan bon punt ell falla un atac, intentes fer un ràpid contraatac. Jugar al contraatac pot ser una bona opció si tens una molt bona defensa i atac (però un mig camp dolent), i especialment en combinació amb el cas que el teu rival tingui un atac poc efectiu.</t>
  </si>
  <si>
    <r>
      <t>Avantatge:</t>
    </r>
    <r>
      <rPr>
        <sz val="8"/>
        <color rgb="FF000000"/>
        <rFont val="Verdana"/>
        <family val="2"/>
      </rPr>
      <t> Pots guanyar atacs addicionals (obtens l'oportunitat de contraatacar quan la teva defensa aconsegueix aturar un atac de l'oponent).</t>
    </r>
  </si>
  <si>
    <r>
      <t>Desavantatge:</t>
    </r>
    <r>
      <rPr>
        <sz val="8"/>
        <color rgb="FF000000"/>
        <rFont val="Verdana"/>
        <family val="2"/>
      </rPr>
      <t> Perds el 7% del teu nivell de mig camp.</t>
    </r>
  </si>
  <si>
    <r>
      <t>Habilitats rellevants:</t>
    </r>
    <r>
      <rPr>
        <sz val="8"/>
        <color rgb="FF000000"/>
        <rFont val="Verdana"/>
        <family val="2"/>
      </rPr>
      <t> La suma total de les passades i la defensa dels teus defensors determinen el teu nivell de la tàctica de contraatacs. Les passades és el doble d'important que la defensa.</t>
    </r>
  </si>
  <si>
    <t>Només l'equip que no domina el mig camp al moment que es falla un atac pot utilitzar l'avantatge d'aquesta tàctica. Si domines el mig camp, llavors només pots sofrir el desavantatge. Tots els contraatacs apareixen reflectits al reportatge del partit.</t>
  </si>
  <si>
    <t>Atac pel centre</t>
  </si>
  <si>
    <t>La tàctica "Atac pel centre" vol dir que el teu equip se centra en atacar pel centre del camp, deixant de banda els atacs per les bandes. En altres paraules, canvies atacs per les bandes per atacs pel centre.</t>
  </si>
  <si>
    <r>
      <t>Avantatge:</t>
    </r>
    <r>
      <rPr>
        <sz val="8"/>
        <color rgb="FF000000"/>
        <rFont val="Verdana"/>
        <family val="2"/>
      </rPr>
      <t> Entre un 15 i un 30% dels atacs per les bandes són convertits en atacs pel centre.</t>
    </r>
  </si>
  <si>
    <r>
      <t>Desavantatge:</t>
    </r>
    <r>
      <rPr>
        <sz val="8"/>
        <color rgb="FF000000"/>
        <rFont val="Verdana"/>
        <family val="2"/>
      </rPr>
      <t> La teva defensa lateral (la de les dues bandes) serà pitjor.</t>
    </r>
  </si>
  <si>
    <r>
      <t>Habilitats rellevants:</t>
    </r>
    <r>
      <rPr>
        <sz val="8"/>
        <color rgb="FF000000"/>
        <rFont val="Verdana"/>
        <family val="2"/>
      </rPr>
      <t> El nivell total de passades dels teus jugadors de camp determinen el nivell de la tàctica d'atac pel centre.</t>
    </r>
  </si>
  <si>
    <t>Sempre que un atac per una banda es canvia per un pel mig, es mostra al reportatge del partit.</t>
  </si>
  <si>
    <t>Atac per les bandes</t>
  </si>
  <si>
    <t>L'atac per les bandes funciona de la mateixa manera que l'"atac pel centre", però al revés; vol dir que canvies atacs pel centre per atacs per els bandes. Com que normalment hi ha menys atacs pel centre que per les bandes, en converteixes, percentualment parlant, un mica més.</t>
  </si>
  <si>
    <r>
      <t>Avantatge:</t>
    </r>
    <r>
      <rPr>
        <sz val="8"/>
        <color rgb="FF000000"/>
        <rFont val="Verdana"/>
        <family val="2"/>
      </rPr>
      <t> Entre un 20 i un 40% dels teus atacs pel centre són convertits en atacs per les bandes.</t>
    </r>
  </si>
  <si>
    <r>
      <t>Desavantatge:</t>
    </r>
    <r>
      <rPr>
        <sz val="8"/>
        <color rgb="FF000000"/>
        <rFont val="Verdana"/>
        <family val="2"/>
      </rPr>
      <t> La teva defensa central serà pitjor.</t>
    </r>
  </si>
  <si>
    <r>
      <t>Habilitats rellevants:</t>
    </r>
    <r>
      <rPr>
        <sz val="8"/>
        <color rgb="FF000000"/>
        <rFont val="Verdana"/>
        <family val="2"/>
      </rPr>
      <t> El nivell total de passades dels teus jugadors de camp determina el nivell de tàctica de l'atac per les bandes.</t>
    </r>
  </si>
  <si>
    <t>Sempre que un atac pel mig passa a ser per les bandes es mostra al reportatge del partit.</t>
  </si>
  <si>
    <t>Joc d'especialitats</t>
  </si>
  <si>
    <t>La tàctica "joc d'especialitats" vol dir que els jugadors intenten fer més ús de les seves especialitats, i altres atributs.</t>
  </si>
  <si>
    <r>
      <t>Avantatge:</t>
    </r>
    <r>
      <rPr>
        <sz val="8"/>
        <color rgb="FF000000"/>
        <rFont val="Verdana"/>
        <family val="2"/>
      </rPr>
      <t> Incrementes les possibilitats que hi hagi un esdeveniment especial (tant els positius com els negatius, també els climatològics) durant el partit per ambdós equips.</t>
    </r>
  </si>
  <si>
    <r>
      <t>Desavantatge:</t>
    </r>
    <r>
      <rPr>
        <sz val="8"/>
        <color rgb="FF000000"/>
        <rFont val="Verdana"/>
        <family val="2"/>
      </rPr>
      <t> El teu equip empitjorarà una mica en defensa.</t>
    </r>
  </si>
  <si>
    <r>
      <t>Habilitats rellevants:</t>
    </r>
    <r>
      <rPr>
        <sz val="8"/>
        <color rgb="FF000000"/>
        <rFont val="Verdana"/>
        <family val="2"/>
      </rPr>
      <t> El joc d'especialitats no té nivell de tàctica, però per fer-ne un bon ús és recomanable tenir un equip optimitzat pels esdeveniments especials (per exemple tenint molts jugadors amb especialitat).</t>
    </r>
  </si>
  <si>
    <t>Xuts llunyans</t>
  </si>
  <si>
    <t>Quan jugues la tàctica de xuts llunyans els teus jugadors se'ls ordena d'efectuar xuts llunyans enlloc de fer tot la seqüència d'atac. En altres paraules, canvies atacs pel centre i per les bandes per xuts llunyans. Un xut llunyà compara el xutador amb el porter. Pot ser útil si tens problemes per marcar amb els teu atac central i per les bandes, i tens xutadors decents.</t>
  </si>
  <si>
    <r>
      <t>Avantatge:</t>
    </r>
    <r>
      <rPr>
        <sz val="8"/>
        <color rgb="FF000000"/>
        <rFont val="Verdana"/>
        <family val="2"/>
      </rPr>
      <t> Fins a un 30% dels teus atacs centrals i els atacs per les bandes són convertits en xuts llunyans.</t>
    </r>
  </si>
  <si>
    <r>
      <t>Desavantatge:</t>
    </r>
    <r>
      <rPr>
        <sz val="8"/>
        <color rgb="FF000000"/>
        <rFont val="Verdana"/>
        <family val="2"/>
      </rPr>
      <t> El teu atac central i els teus atacs per les bandes, així com el teu mig camp esdevenen una mica pitjor.</t>
    </r>
  </si>
  <si>
    <r>
      <t>Habilitats rellevants:</t>
    </r>
    <r>
      <rPr>
        <sz val="8"/>
        <color rgb="FF000000"/>
        <rFont val="Verdana"/>
        <family val="2"/>
      </rPr>
      <t> Les habilitats d'anotació i pilota aturada dels teus jugadors de camp determina el nivell de tàctica dels xuts llunyans. L'anotació és tres vegades més important que la pilota aturada.</t>
    </r>
  </si>
  <si>
    <t>Quan un atac ha estat convertit en un xut llunyà, un equip defensor que utilitzi la tàctica de pressió tindrà una oportunitat de destruir aquest xut. Si finalment el xut succeeix, el jugador de camp (migcampistes i extrems tenen el doble d'oportunitats) el fa. La qualitat del xut depèn de l'habilitat en anotació i pilota aturada del xutador, i el porter pot aturar el xut utilitzant les habilitats de porteria i de pilota aturada. Tant per l'un com per l'altre: És necessari una mica de les dues habilitats, i és millor tenir-ne bastant de les dues que molt de només una.</t>
  </si>
  <si>
    <t>Tots els xuts llunyans són reportats al partit, incloent les oportunitats destruïdes.</t>
  </si>
  <si>
    <t>Normal</t>
  </si>
  <si>
    <t>AIM_15%</t>
  </si>
  <si>
    <t>AIM_30%</t>
  </si>
  <si>
    <t>AOW_20%</t>
  </si>
  <si>
    <t>AOW_40%</t>
  </si>
  <si>
    <t>Miguel</t>
  </si>
  <si>
    <t>POR</t>
  </si>
  <si>
    <t>PAS</t>
  </si>
  <si>
    <t>BP</t>
  </si>
  <si>
    <t>Alex Txantre</t>
  </si>
  <si>
    <t>tabla I: rendimiento por minuto en función de la resistencia del jugador. </t>
  </si>
  <si>
    <t>(min/resistencia)--&gt; rendimiento. </t>
  </si>
  <si>
    <t>SN</t>
  </si>
  <si>
    <t>med</t>
  </si>
  <si>
    <t>Hurol</t>
  </si>
  <si>
    <t>Tribuna original</t>
  </si>
  <si>
    <t>Para cerrar el tema de los socios aquí una tabla de socios.</t>
  </si>
  <si>
    <t>nivel / liga</t>
  </si>
  <si>
    <t>1 a 7</t>
  </si>
  <si>
    <t>1 a 8</t>
  </si>
  <si>
    <t>1 a 9</t>
  </si>
  <si>
    <t>1 a 10</t>
  </si>
  <si>
    <t>1 a 11</t>
  </si>
  <si>
    <t>XI</t>
  </si>
  <si>
    <t>Aficonados objectivos en cada divisón.</t>
  </si>
  <si>
    <t>1 a 11 se refiere a los paises con 11 divisiones.</t>
  </si>
  <si>
    <t>Matute Suso</t>
  </si>
  <si>
    <t>EDAD</t>
  </si>
  <si>
    <t>Fonoll</t>
  </si>
  <si>
    <t>Holzinger</t>
  </si>
  <si>
    <t>Janssens</t>
  </si>
  <si>
    <t>LaCorte</t>
  </si>
  <si>
    <t>Tordeus</t>
  </si>
  <si>
    <t>RomeroGomez</t>
  </si>
  <si>
    <t>Saillet</t>
  </si>
  <si>
    <t>Eberhart</t>
  </si>
  <si>
    <t>Berndtson</t>
  </si>
  <si>
    <t>Fatin</t>
  </si>
  <si>
    <t>Hasen</t>
  </si>
  <si>
    <t>Huzikau</t>
  </si>
  <si>
    <t>Bagryantsev</t>
  </si>
  <si>
    <t>Dominic Renger</t>
  </si>
  <si>
    <t>Norskog</t>
  </si>
  <si>
    <t>Leska</t>
  </si>
  <si>
    <t>Última actualització</t>
  </si>
  <si>
    <t>Tipus d'entrenament</t>
  </si>
  <si>
    <t>Nombre d'equips</t>
  </si>
  <si>
    <t>Percentatge</t>
  </si>
  <si>
    <t>Pilota aturada</t>
  </si>
  <si>
    <t>Anotació</t>
  </si>
  <si>
    <t>Centrades (Extrem)</t>
  </si>
  <si>
    <t>Xuts</t>
  </si>
  <si>
    <t>Passades curtes</t>
  </si>
  <si>
    <t>Porteria</t>
  </si>
  <si>
    <t>Passades llargues</t>
  </si>
  <si>
    <t>Posicions defensives</t>
  </si>
  <si>
    <t>Atacs per les bandes</t>
  </si>
  <si>
    <t>%Rendimiento según forma</t>
  </si>
  <si>
    <t>(f/7)^0,5</t>
  </si>
  <si>
    <r>
      <t>► </t>
    </r>
    <r>
      <rPr>
        <b/>
        <sz val="8"/>
        <color rgb="FF000000"/>
        <rFont val="Verdana"/>
        <family val="2"/>
      </rPr>
      <t>Long Shots </t>
    </r>
    <r>
      <rPr>
        <sz val="8"/>
        <color rgb="FF000000"/>
        <rFont val="Verdana"/>
        <family val="2"/>
      </rPr>
      <t>tactic level = 1.66*SC + 0.55*SP - 7.6</t>
    </r>
  </si>
  <si>
    <t>SC = outfield players average scoring</t>
  </si>
  <si>
    <t>SP = outfield players average set pieces</t>
  </si>
  <si>
    <t>Penalty on LS:</t>
  </si>
  <si>
    <t>- Midfield: -5%</t>
  </si>
  <si>
    <t>- Attack: -2,7%</t>
  </si>
  <si>
    <r>
      <t>(13160)</t>
    </r>
    <r>
      <rPr>
        <sz val="8"/>
        <color rgb="FF000000"/>
        <rFont val="Verdana"/>
        <family val="2"/>
      </rPr>
      <t>, </t>
    </r>
    <r>
      <rPr>
        <sz val="8"/>
        <color rgb="FF3F7137"/>
        <rFont val="Verdana"/>
        <family val="2"/>
      </rPr>
      <t>(13124)</t>
    </r>
    <r>
      <rPr>
        <sz val="8"/>
        <color rgb="FF000000"/>
        <rFont val="Verdana"/>
        <family val="2"/>
      </rPr>
      <t>, </t>
    </r>
    <r>
      <rPr>
        <sz val="8"/>
        <color rgb="FF3F7137"/>
        <rFont val="Verdana"/>
        <family val="2"/>
      </rPr>
      <t>(13125)</t>
    </r>
  </si>
  <si>
    <t>LS level - TOTAL </t>
  </si>
  <si>
    <t>2 wretched - 15 to 18.4</t>
  </si>
  <si>
    <t>3 poor - 18.5 to 20.3</t>
  </si>
  <si>
    <t>4 weak - 20.4 to 23.0</t>
  </si>
  <si>
    <t>5 inadequate - 23.1 to 24.6</t>
  </si>
  <si>
    <t>6 passable - 24.7 to 25.9</t>
  </si>
  <si>
    <t>7 solid - 26 to 27.8</t>
  </si>
  <si>
    <t>8 excellent - 27.9 to 29.4</t>
  </si>
  <si>
    <t>9 formidable - 29.5 to 31.1</t>
  </si>
  <si>
    <t>10 outstanding - 31.2 to 33.1</t>
  </si>
  <si>
    <t>11 brilliant - 33.2 to 34.2</t>
  </si>
  <si>
    <t>12 magnificent - 34.3 to 36.2</t>
  </si>
  <si>
    <t>13 worldclass - 36.3 to 37.8</t>
  </si>
  <si>
    <t>14 supernatural - 37.9 to 40.0</t>
  </si>
  <si>
    <t>15 titanic - 40.1 to 42.1</t>
  </si>
  <si>
    <t>16 extraterrestial - 42.2 to 43.9</t>
  </si>
  <si>
    <t>17 mythical - 44 to 45.5</t>
  </si>
  <si>
    <t>18 magical - 45.6 to ?</t>
  </si>
  <si>
    <t>19 utopian - 47.7</t>
  </si>
  <si>
    <t>20 divine - ?</t>
  </si>
  <si>
    <t>TOTAL = 3*avg(SC)+avg(SP)</t>
  </si>
  <si>
    <t>where avg(SC) = average Scoring of all your ten field players</t>
  </si>
  <si>
    <t>and avg(SP) = average Set Pieces of all your ten field players</t>
  </si>
  <si>
    <t>Giroldini</t>
  </si>
  <si>
    <t>Waverman</t>
  </si>
  <si>
    <t>Marstallsteg</t>
  </si>
  <si>
    <t>Domange</t>
  </si>
  <si>
    <t>Audiejaitis</t>
  </si>
  <si>
    <t>Oztay</t>
  </si>
  <si>
    <t>Cols</t>
  </si>
  <si>
    <t>Vangohergen</t>
  </si>
  <si>
    <t>Hartels</t>
  </si>
  <si>
    <t>Lopez</t>
  </si>
  <si>
    <t>VI.976</t>
  </si>
  <si>
    <t>Kalvet</t>
  </si>
  <si>
    <t>BALANCE DE SITUACION T40</t>
  </si>
  <si>
    <t>Voslvcki</t>
  </si>
  <si>
    <t>Mckinnon</t>
  </si>
  <si>
    <t>S55</t>
  </si>
  <si>
    <t>S56</t>
  </si>
  <si>
    <t>S57</t>
  </si>
  <si>
    <t>S58</t>
  </si>
  <si>
    <t>S59</t>
  </si>
  <si>
    <t>S60</t>
  </si>
  <si>
    <t>S61</t>
  </si>
  <si>
    <t>S62</t>
  </si>
  <si>
    <t>S63</t>
  </si>
  <si>
    <t>S64</t>
  </si>
  <si>
    <t>B/P Act + Amort</t>
  </si>
  <si>
    <t>Koskarratxa</t>
  </si>
  <si>
    <t>años</t>
  </si>
  <si>
    <t>dias</t>
  </si>
  <si>
    <t>Pagos LC</t>
  </si>
  <si>
    <t>Pagos CP</t>
  </si>
  <si>
    <t>ByP Acum</t>
  </si>
  <si>
    <t>ByP T39</t>
  </si>
  <si>
    <t>S65</t>
  </si>
  <si>
    <t>S66</t>
  </si>
  <si>
    <t>S67</t>
  </si>
  <si>
    <t>S68</t>
  </si>
  <si>
    <t>S69</t>
  </si>
  <si>
    <t>Ribadulla</t>
  </si>
  <si>
    <t>Olmos</t>
  </si>
  <si>
    <t>Goncalves</t>
  </si>
  <si>
    <t>Chuda</t>
  </si>
  <si>
    <t>Massarelli</t>
  </si>
  <si>
    <t>Pulido</t>
  </si>
  <si>
    <t>Borsanyi</t>
  </si>
  <si>
    <t>Gerasimenko</t>
  </si>
  <si>
    <t>Barbarie</t>
  </si>
  <si>
    <t>Housa</t>
  </si>
  <si>
    <t>ByP T40</t>
  </si>
  <si>
    <t>Gomes</t>
  </si>
  <si>
    <t>Manene</t>
  </si>
  <si>
    <t>Garces de Marcilla</t>
  </si>
  <si>
    <t>Healy</t>
  </si>
  <si>
    <t>Precio Conversión</t>
  </si>
  <si>
    <t>Tiempo en Club (desastroso)</t>
  </si>
  <si>
    <t>CosteTOTAL</t>
  </si>
  <si>
    <t>CosteAÑO</t>
  </si>
  <si>
    <t>Bjartur á Malarenda</t>
  </si>
  <si>
    <t>Divino+++</t>
  </si>
  <si>
    <t>Tiempo en Club (cambio debil-pobre)</t>
  </si>
  <si>
    <t>CosteAÑOdesatroso</t>
  </si>
  <si>
    <t>Jack Heimendinger</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</si>
  <si>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</si>
  <si>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</si>
  <si>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</si>
  <si>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</si>
  <si>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</si>
  <si>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</si>
  <si>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</si>
  <si>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</si>
  <si>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FFYDO:</t>
  </si>
  <si>
    <t>Sembla que a llarga el notable Lid surten igual o millor</t>
  </si>
  <si>
    <t>Sembla que MG-CM exp son interesants</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</si>
  <si>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</si>
  <si>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</si>
  <si>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</si>
  <si>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</si>
  <si>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(suben bajan de precios en pretemporada?)</t>
  </si>
  <si>
    <t>Miskovic</t>
  </si>
  <si>
    <t>Sarpe</t>
  </si>
  <si>
    <t>S70</t>
  </si>
  <si>
    <t>S71</t>
  </si>
  <si>
    <t>S72</t>
  </si>
  <si>
    <t>S73</t>
  </si>
  <si>
    <t>S74</t>
  </si>
  <si>
    <t>S75</t>
  </si>
  <si>
    <t>S76</t>
  </si>
  <si>
    <t>S77</t>
  </si>
  <si>
    <t>S78</t>
  </si>
  <si>
    <t>S79</t>
  </si>
  <si>
    <t>S80</t>
  </si>
  <si>
    <t>S81</t>
  </si>
  <si>
    <t>S82</t>
  </si>
  <si>
    <t>S83</t>
  </si>
  <si>
    <t>S84</t>
  </si>
  <si>
    <t>S85</t>
  </si>
  <si>
    <t>Martin</t>
  </si>
  <si>
    <t>Diego de la Torre</t>
  </si>
  <si>
    <t>Naulapaa</t>
  </si>
  <si>
    <t>Gautsch</t>
  </si>
  <si>
    <t>BALANCE DE SITUACION T41</t>
  </si>
  <si>
    <t>Transferencias de jugadores T41</t>
  </si>
  <si>
    <t>Artymiuk</t>
  </si>
  <si>
    <t>VanTruc</t>
  </si>
  <si>
    <t>Bugarin</t>
  </si>
  <si>
    <t>Vilar</t>
  </si>
  <si>
    <t>B/P</t>
  </si>
  <si>
    <t>Kalan</t>
  </si>
  <si>
    <t>Alessi</t>
  </si>
  <si>
    <t>Drum</t>
  </si>
  <si>
    <t>BALANCE DE SITUACION T42</t>
  </si>
  <si>
    <t>Transferencias de jugadores T42</t>
  </si>
  <si>
    <t>ByP T41</t>
  </si>
  <si>
    <t>Chung</t>
  </si>
  <si>
    <t>Ovgu</t>
  </si>
  <si>
    <t>P. Vilar</t>
  </si>
  <si>
    <t>Otro</t>
  </si>
  <si>
    <t>Caramillo</t>
  </si>
  <si>
    <t>Lemmings</t>
  </si>
  <si>
    <t>Moykeiz</t>
  </si>
  <si>
    <t>Chiu</t>
  </si>
  <si>
    <t xml:space="preserve">4.247.700 - 4.800.000 € </t>
  </si>
  <si>
    <t>Gabriel</t>
  </si>
  <si>
    <t>Balsanki</t>
  </si>
  <si>
    <t>DEFENSA</t>
  </si>
  <si>
    <t>JUGADAS</t>
  </si>
  <si>
    <t>Balluci</t>
  </si>
  <si>
    <t>PinhoCarvalho</t>
  </si>
  <si>
    <t>Pacheco</t>
  </si>
  <si>
    <t>Pisnjak</t>
  </si>
  <si>
    <t>Hardy</t>
  </si>
  <si>
    <t>Graboswki</t>
  </si>
  <si>
    <t>Valdés Saavedra</t>
  </si>
  <si>
    <t>Petkov</t>
  </si>
  <si>
    <t>Flynn</t>
  </si>
  <si>
    <t>TEC</t>
  </si>
  <si>
    <t>Subirà</t>
  </si>
  <si>
    <t>Volovski</t>
  </si>
  <si>
    <t>TotalVentas</t>
  </si>
  <si>
    <t>ByP T42</t>
  </si>
  <si>
    <t>BALANCE DE SITUACION T43</t>
  </si>
  <si>
    <t>Transferencias de jugadores T43</t>
  </si>
  <si>
    <t>B/P Act + Amort+Caja</t>
  </si>
  <si>
    <t>Lubow</t>
  </si>
  <si>
    <t>Bisco</t>
  </si>
  <si>
    <t>Barbosa</t>
  </si>
  <si>
    <t>Parnagyan</t>
  </si>
  <si>
    <t>79'</t>
  </si>
  <si>
    <t>AT</t>
  </si>
  <si>
    <t xml:space="preserve">Efecto es: </t>
  </si>
  <si>
    <t>Def +14,8%</t>
  </si>
  <si>
    <t>At -28,5%</t>
  </si>
  <si>
    <t>Bresoli</t>
  </si>
  <si>
    <t>Zaplana</t>
  </si>
  <si>
    <t>Pudschedl</t>
  </si>
  <si>
    <t>%com</t>
  </si>
  <si>
    <t>Peirolo</t>
  </si>
  <si>
    <t>V.119</t>
  </si>
  <si>
    <t>Paredes</t>
  </si>
  <si>
    <t>J. Pittors</t>
  </si>
  <si>
    <t>Lasalde</t>
  </si>
  <si>
    <t>Cousa</t>
  </si>
  <si>
    <t>S86</t>
  </si>
  <si>
    <t>S87</t>
  </si>
  <si>
    <t>S88</t>
  </si>
  <si>
    <t>S89</t>
  </si>
  <si>
    <t>S90</t>
  </si>
  <si>
    <t>S91</t>
  </si>
  <si>
    <t>S92</t>
  </si>
  <si>
    <t>S93</t>
  </si>
  <si>
    <t>S94</t>
  </si>
  <si>
    <t>S95</t>
  </si>
  <si>
    <t>S96</t>
  </si>
  <si>
    <t>S97</t>
  </si>
  <si>
    <t>S98</t>
  </si>
  <si>
    <t>S99</t>
  </si>
  <si>
    <t>S100</t>
  </si>
  <si>
    <t>S101</t>
  </si>
  <si>
    <t>S102</t>
  </si>
  <si>
    <t>S103</t>
  </si>
  <si>
    <t>S104</t>
  </si>
  <si>
    <t>S105</t>
  </si>
  <si>
    <t>S106</t>
  </si>
  <si>
    <t>S107</t>
  </si>
  <si>
    <t>S108</t>
  </si>
  <si>
    <t>S109</t>
  </si>
  <si>
    <t>S110</t>
  </si>
  <si>
    <t>S111</t>
  </si>
  <si>
    <t>S112</t>
  </si>
  <si>
    <t>Esquerdo</t>
  </si>
  <si>
    <t>Vel</t>
  </si>
  <si>
    <t>PASc</t>
  </si>
  <si>
    <t>Años</t>
  </si>
  <si>
    <t>PrecioCompra</t>
  </si>
  <si>
    <t>Asúa</t>
  </si>
  <si>
    <t>Baldin</t>
  </si>
  <si>
    <t>TEMPORADA</t>
  </si>
  <si>
    <t>INVERSIÓN</t>
  </si>
  <si>
    <t>JUG VENDIDOS</t>
  </si>
  <si>
    <t>VENTAS</t>
  </si>
  <si>
    <t>BENEFICIO</t>
  </si>
  <si>
    <t>BEN ACUMULADO</t>
  </si>
  <si>
    <t>Temp</t>
  </si>
  <si>
    <t>VENTASNETAS</t>
  </si>
  <si>
    <t>INV CUM</t>
  </si>
  <si>
    <t>JUG CUM</t>
  </si>
  <si>
    <t>Van Hoesel</t>
  </si>
  <si>
    <t>Obidzinski</t>
  </si>
  <si>
    <t>Coutinho</t>
  </si>
  <si>
    <t>Bierman</t>
  </si>
  <si>
    <t>Procaccianti</t>
  </si>
  <si>
    <t>RAP</t>
  </si>
  <si>
    <t>Pinto</t>
  </si>
  <si>
    <t>Bird</t>
  </si>
  <si>
    <t>Maggipinto</t>
  </si>
  <si>
    <t>D'aviri</t>
  </si>
  <si>
    <t>Slippens</t>
  </si>
  <si>
    <t>Pors</t>
  </si>
  <si>
    <t>Andreoni</t>
  </si>
  <si>
    <t>Mora</t>
  </si>
  <si>
    <t>Phuc Quang</t>
  </si>
  <si>
    <t>Caraduxe</t>
  </si>
  <si>
    <t>IMP</t>
  </si>
  <si>
    <t>Ambrushi</t>
  </si>
  <si>
    <t>Taysi</t>
  </si>
  <si>
    <t>El Messiri</t>
  </si>
  <si>
    <t>Pitkonen</t>
  </si>
  <si>
    <t>R2</t>
  </si>
  <si>
    <t>R3</t>
  </si>
  <si>
    <t>R4</t>
  </si>
  <si>
    <t>R1</t>
  </si>
  <si>
    <t>R5</t>
  </si>
  <si>
    <t>R6</t>
  </si>
  <si>
    <t>R7</t>
  </si>
  <si>
    <t>R8</t>
  </si>
  <si>
    <t>R9</t>
  </si>
  <si>
    <t>R10</t>
  </si>
  <si>
    <t>R11</t>
  </si>
  <si>
    <t>R12</t>
  </si>
  <si>
    <t>R13</t>
  </si>
  <si>
    <t>R14</t>
  </si>
  <si>
    <t>Cruz</t>
  </si>
  <si>
    <t>Frisina</t>
  </si>
  <si>
    <t>Quertier</t>
  </si>
  <si>
    <t>Spinola</t>
  </si>
  <si>
    <t>Ferrario</t>
  </si>
  <si>
    <t>Cooman</t>
  </si>
  <si>
    <t>Di Miceli</t>
  </si>
  <si>
    <t>Corobea</t>
  </si>
  <si>
    <t>Gallard</t>
  </si>
  <si>
    <t>Venizelos</t>
  </si>
  <si>
    <t>Pittors</t>
  </si>
  <si>
    <t>Galobados</t>
  </si>
  <si>
    <t>Pavani</t>
  </si>
  <si>
    <t>Anagnostidis</t>
  </si>
  <si>
    <t>Fohringer</t>
  </si>
  <si>
    <t>BALANCE DE SITUACION T44</t>
  </si>
  <si>
    <t>Transferencias de jugadores T44</t>
  </si>
  <si>
    <t>Stentoft</t>
  </si>
  <si>
    <t>Patro-1</t>
  </si>
  <si>
    <t>DC</t>
  </si>
  <si>
    <t>Zona</t>
  </si>
  <si>
    <t>Def Lat</t>
  </si>
  <si>
    <t>At Lateral</t>
  </si>
  <si>
    <t>MEDIO Minimo</t>
  </si>
  <si>
    <t>MEDIO Maximo</t>
  </si>
  <si>
    <t>Niveles¿?</t>
  </si>
  <si>
    <t>FORMA Max</t>
  </si>
  <si>
    <t>FORMA Min</t>
  </si>
  <si>
    <t>JUG Max</t>
  </si>
  <si>
    <t>van Hoesel</t>
  </si>
  <si>
    <t>Mojescik</t>
  </si>
  <si>
    <t>Experience</t>
  </si>
  <si>
    <t>Contribution</t>
  </si>
  <si>
    <t>Disastrous</t>
  </si>
  <si>
    <t>Wretched</t>
  </si>
  <si>
    <t>+0.40</t>
  </si>
  <si>
    <t>Poor</t>
  </si>
  <si>
    <t>+0.64</t>
  </si>
  <si>
    <t>Weak</t>
  </si>
  <si>
    <t>+0.80</t>
  </si>
  <si>
    <t>Inadequate</t>
  </si>
  <si>
    <t>+0.93</t>
  </si>
  <si>
    <t>+1.04</t>
  </si>
  <si>
    <t>+1.13</t>
  </si>
  <si>
    <t>Excellent</t>
  </si>
  <si>
    <t>+1.20</t>
  </si>
  <si>
    <t>+1.27</t>
  </si>
  <si>
    <t>Outstanding</t>
  </si>
  <si>
    <t>+1.33</t>
  </si>
  <si>
    <t>Brilliant</t>
  </si>
  <si>
    <t>+1.39</t>
  </si>
  <si>
    <t>Magnificent</t>
  </si>
  <si>
    <t>+1.44</t>
  </si>
  <si>
    <t>WorldClass</t>
  </si>
  <si>
    <t>+1.49</t>
  </si>
  <si>
    <t>Supernatural</t>
  </si>
  <si>
    <t>+1.53</t>
  </si>
  <si>
    <t>+1.57</t>
  </si>
  <si>
    <t>Extra-Terrestrial</t>
  </si>
  <si>
    <t>+1.61</t>
  </si>
  <si>
    <t>+1.64</t>
  </si>
  <si>
    <t>+1.67</t>
  </si>
  <si>
    <t>+1.71</t>
  </si>
  <si>
    <t>+1.73</t>
  </si>
  <si>
    <t>Formula: XP influence: = log (experience) * 4/3</t>
  </si>
  <si>
    <t>RendFid</t>
  </si>
  <si>
    <t>RendExp</t>
  </si>
  <si>
    <t>VALOR BASE Min</t>
  </si>
  <si>
    <t>VALOR BASE Max</t>
  </si>
  <si>
    <t>NIVEL REAL Min</t>
  </si>
  <si>
    <t>NIVEL REAL Max</t>
  </si>
  <si>
    <t>CALCULADO</t>
  </si>
  <si>
    <t>ESTUDIO DE UN NIVEL DE JUGADAS SOBRE LAS CALIFICACIONES DEL MEDIO</t>
  </si>
  <si>
    <t>ESTUDIO DE UN NIVEL DE LATERAL SOBRE LAS CALIFICACIONES DEL MEDIO</t>
  </si>
  <si>
    <t>LATERAL Min</t>
  </si>
  <si>
    <t>LAT Max</t>
  </si>
  <si>
    <t>At.Lat Min</t>
  </si>
  <si>
    <t>At.Lat Max</t>
  </si>
  <si>
    <t>Cal Min</t>
  </si>
  <si>
    <t>Cal Max</t>
  </si>
  <si>
    <t>Pas Min</t>
  </si>
  <si>
    <t>Pas Max</t>
  </si>
  <si>
    <t>% Pas</t>
  </si>
  <si>
    <t>% Lat</t>
  </si>
  <si>
    <t>% Jug</t>
  </si>
  <si>
    <t>%MinForm</t>
  </si>
  <si>
    <t>%MaxForm</t>
  </si>
  <si>
    <t>%error</t>
  </si>
  <si>
    <t>ESTUDIO DE UN NIVEL DE ANOTACION SOBRE LAS CALIFICACIONES DEL AT.CENTRAL</t>
  </si>
  <si>
    <t>ANO Min</t>
  </si>
  <si>
    <t>ANO Max</t>
  </si>
  <si>
    <t>%Ano</t>
  </si>
  <si>
    <t>%Pas</t>
  </si>
  <si>
    <t>At.Cen Min</t>
  </si>
  <si>
    <t>At.Cen Max</t>
  </si>
  <si>
    <t>vn Hoesel</t>
  </si>
  <si>
    <t>ESTUDIO DE UN NIVEL DE DEFENSA SOBRE LAS CALIFICACIONES DEL DEFENSA LATERAL</t>
  </si>
  <si>
    <t>DEF Max</t>
  </si>
  <si>
    <t>%Def</t>
  </si>
  <si>
    <t>DefLat Min</t>
  </si>
  <si>
    <t>DefLat Max</t>
  </si>
  <si>
    <t>ESTUDIO DE UN NIVEL DE DEFENSA SOBRE LAS CALIFICACIONES DEL DEFENSA central</t>
  </si>
  <si>
    <t>DefCen Min</t>
  </si>
  <si>
    <t>DefCen Max</t>
  </si>
  <si>
    <t>10niveles</t>
  </si>
  <si>
    <t>15niveles</t>
  </si>
  <si>
    <t>Manzano Lopez</t>
  </si>
  <si>
    <t>IHL</t>
  </si>
  <si>
    <t>Tiempo</t>
  </si>
  <si>
    <t>ESP</t>
  </si>
  <si>
    <t>XP</t>
  </si>
  <si>
    <t>CAB</t>
  </si>
  <si>
    <t>POT</t>
  </si>
  <si>
    <t>J. do Mato</t>
  </si>
  <si>
    <t>da Mato</t>
  </si>
  <si>
    <t>da Capela</t>
  </si>
  <si>
    <t>DD</t>
  </si>
  <si>
    <t>DL</t>
  </si>
  <si>
    <t>N. Lakkotripi</t>
  </si>
  <si>
    <t xml:space="preserve">Eso significa que un jugador con divino+20 en balón parado y débil experiencia no lanzaría penales en mi equipo. </t>
  </si>
  <si>
    <t xml:space="preserve">Normalmente preferiría por ejemplo un bueno/bueno con algo de anotación, porque no tendrá problemas con los nervios y tendrá buenas posibilidades de batir el portero. </t>
  </si>
  <si>
    <t>Sin embargo, si el portero del rival es divino, preferiría el divino+20, porque seguramente tendría pocos jugadores con suficiente BP/anotación, y aunque éste puede fallar por estar nervioso, con divino+20 al menos puede marcar con algo de suerte.</t>
  </si>
  <si>
    <r>
      <t>Es que </t>
    </r>
    <r>
      <rPr>
        <b/>
        <sz val="12"/>
        <color rgb="FF000000"/>
        <rFont val="Calibri"/>
        <family val="2"/>
        <scheme val="minor"/>
      </rPr>
      <t>primero</t>
    </r>
    <r>
      <rPr>
        <sz val="12"/>
        <color rgb="FF000000"/>
        <rFont val="Calibri"/>
        <family val="2"/>
        <scheme val="minor"/>
      </rPr>
      <t> el jugador debe pasar un test de nervios. </t>
    </r>
    <r>
      <rPr>
        <b/>
        <sz val="12"/>
        <color rgb="FF000000"/>
        <rFont val="Calibri"/>
        <family val="2"/>
        <scheme val="minor"/>
      </rPr>
      <t>Después</t>
    </r>
    <r>
      <rPr>
        <sz val="12"/>
        <color rgb="FF000000"/>
        <rFont val="Calibri"/>
        <family val="2"/>
        <scheme val="minor"/>
      </rPr>
      <t>, y solo si pasa el primer test, debe batir el portero.</t>
    </r>
  </si>
  <si>
    <t>Lakkotripi</t>
  </si>
  <si>
    <t>Llançaments directes</t>
  </si>
  <si>
    <t>Tirs lliures indirectes</t>
  </si>
  <si>
    <t xml:space="preserve">Els llançaments de pilota aturada directes són els penals i les faltes directes. Per marcar, el teu llançador utilitzarà la seva habilitat en pilota aturada per superar l'oposició del porter rival. </t>
  </si>
  <si>
    <t>El teu porter, a part de l'habilitat de porteria, utilitzarà el seu nivell de pilota aturada quan estigui defensant una falta directa del rival, però no podrà ser el teu llançador de faltes.</t>
  </si>
  <si>
    <t>Per defensar utilitzaràs (en ordre d'importància) la mitjana de defensa dels teus jugadors de camp, la de pilota aturada d'aquests, l'habilitat de porteria del teu porter, i el seu nivell de pilota aturada.</t>
  </si>
  <si>
    <t xml:space="preserve">Un terç de les teves ocasions a pilota aturada són llançaments indirectes. Es tracta de faltes indirectes, i que arribin a bon port dependrà de l'esforç de l'equip. </t>
  </si>
  <si>
    <t xml:space="preserve">Per atacar s'utilitza (per ordre d'importància) la mitjana d'anotació dels jugadors de camp, la mitjana de la pilota aturada d'aquests i la pilota aturada del teu llançador de pilota aturada. </t>
  </si>
  <si>
    <t>off IFK = 0.5*mAtt + 0.3*mSP + 0.09*SPshooter</t>
  </si>
  <si>
    <t>def IFK = 0.4*mDef + .3*mSP + 0.1*SPgk + 0.08*GKgk</t>
  </si>
  <si>
    <t>mAtt: outfield players attack skill average</t>
  </si>
  <si>
    <t>mDEf: outfield players defence skill average</t>
  </si>
  <si>
    <t>? Penalty taker effectiveness (from HO!):</t>
  </si>
  <si>
    <t>XP * 1.5 + SP * 0.7 + SCO * 0.3</t>
  </si>
  <si>
    <t>+10% if player have technical speciality.</t>
  </si>
  <si>
    <t>IndirectFreeKick:</t>
  </si>
  <si>
    <t>For IFKs, the ME takes into account the SP skill, XP, form and stamina. - (13923177.850)</t>
  </si>
  <si>
    <t>At</t>
  </si>
  <si>
    <t>BPI_A</t>
  </si>
  <si>
    <t>BPI_D</t>
  </si>
  <si>
    <t>id 4991317</t>
  </si>
  <si>
    <t>Kvas</t>
  </si>
  <si>
    <t>Season</t>
  </si>
  <si>
    <t>€</t>
  </si>
  <si>
    <t>€ Cum</t>
  </si>
  <si>
    <t>Players Sold</t>
  </si>
  <si>
    <t>Cum</t>
  </si>
  <si>
    <t>Sales</t>
  </si>
  <si>
    <t>Sales Net</t>
  </si>
  <si>
    <t>Profit (SalesNet-€)</t>
  </si>
  <si>
    <t>Profit Cum</t>
  </si>
  <si>
    <t>Landsverk</t>
  </si>
  <si>
    <t>Corinto</t>
  </si>
  <si>
    <t>Mieres</t>
  </si>
  <si>
    <t>Koot</t>
  </si>
  <si>
    <t>Mazo Santolalla</t>
  </si>
  <si>
    <t>Bordigato</t>
  </si>
  <si>
    <t>Selkes</t>
  </si>
  <si>
    <t>Temrem</t>
  </si>
  <si>
    <t>Obert</t>
  </si>
  <si>
    <t>Young</t>
  </si>
  <si>
    <t>Chevry</t>
  </si>
  <si>
    <t>Soto</t>
  </si>
  <si>
    <t>Zhao Kunjin</t>
  </si>
  <si>
    <t>Lambert</t>
  </si>
  <si>
    <t>Fouque</t>
  </si>
  <si>
    <t>Wyspianski</t>
  </si>
  <si>
    <t>Lipsxhitz</t>
  </si>
  <si>
    <t>Transferencias de jugadores T45</t>
  </si>
  <si>
    <t>BALANCE DE SITUACION T45</t>
  </si>
  <si>
    <t>TS11</t>
  </si>
  <si>
    <t>Sou11</t>
  </si>
  <si>
    <t>Forma11</t>
  </si>
  <si>
    <t>Resistencia11</t>
  </si>
  <si>
    <t>Edad11</t>
  </si>
  <si>
    <t>Experiencia11</t>
  </si>
  <si>
    <t>29(20)</t>
  </si>
  <si>
    <t>Millán</t>
  </si>
  <si>
    <t>29(27)</t>
  </si>
  <si>
    <t>Kavcic</t>
  </si>
  <si>
    <t>29(37)</t>
  </si>
  <si>
    <t>ANO</t>
  </si>
  <si>
    <t>R. Kavcic</t>
  </si>
  <si>
    <t>Esquerigüela</t>
  </si>
  <si>
    <t>29(41)</t>
  </si>
  <si>
    <t>[post=13093829.1]</t>
  </si>
  <si>
    <t>Hace tiempo hubo un hilo que estudiaba el efecto de la experiencia de las estrellas. Estuve cerca de sacar conclusiones, pero me faltaba alguno con nivel muy muy alto para completar. Esta semana mi nuevo entrenador ha jugado 5 minutos en buena forma. Su experiencia es de 24 niveles encima de divino (o sea nivel 43) y ha sacado 30 bugnos. Tiene nulo anotación y lateral y desastroso pases.</t>
  </si>
  <si>
    <r>
      <t xml:space="preserve">Los números abajo representan el número de bugnos con diferentes niveles de experiencia, forma excelente y condición formidable (o jugando 5 minutos). Son </t>
    </r>
    <r>
      <rPr>
        <b/>
        <sz val="11"/>
        <color theme="1"/>
        <rFont val="Calibri"/>
        <family val="2"/>
        <scheme val="minor"/>
      </rPr>
      <t>fiables pero no exactos</t>
    </r>
    <r>
      <rPr>
        <sz val="11"/>
        <color theme="1"/>
        <rFont val="Calibri"/>
        <family val="2"/>
        <scheme val="minor"/>
      </rPr>
      <t>, ya que no me he molestado en buscar subniveles de nada y las observaciones son con diferentes niveles de forma. Pero eso sí, son apróximadamente correctos.</t>
    </r>
  </si>
  <si>
    <t>43 - 31</t>
  </si>
  <si>
    <t>20 - 24 (=1*)</t>
  </si>
  <si>
    <t>15 - 22</t>
  </si>
  <si>
    <t>Como se suponía, la mayoría del efecto de la experiencia ya se alcanza con excelente/destacado, más o menos. Luego ya hace poca diferencia cada nivel.</t>
  </si>
  <si>
    <t>La tabla de arriba se aproxima mucho a la fórmula</t>
  </si>
  <si>
    <t>bugnos = log(experiencia) * 19</t>
  </si>
  <si>
    <t>o (lo mismo)</t>
  </si>
  <si>
    <t>estrellas = log (experiencia) * 0,8</t>
  </si>
  <si>
    <t>Esto se puede traducir a niveles de habilidades también. Un nivel en todas las habilidades suma unas 0,6* (varia un poco según las posiciones, pero más o menos anda por ahí).</t>
  </si>
  <si>
    <t>niveles = log (experiencia) * 4/3</t>
  </si>
  <si>
    <t>Con otras palabras, tener insuficiente/aceptable experiencia es como tener 1 nivel extra en todas las habilidades (sin efecto en el salario), pero sobrenatural experiencia solo le da medio nivel más. Y necesita casi doble divino para que sea como 2 niveles.</t>
  </si>
  <si>
    <t>.</t>
  </si>
  <si>
    <t>Eso no quiere decir que esta sea la fórmula que aplica Hattrick, pero es una fórmula simple y se acerca lo suficiente para utilizarlo en los cálculos.</t>
  </si>
  <si>
    <t>Os recuerdo que los números arriba siempre son para excelente forma y sin cansancio (formidable condición o el principio del partido).</t>
  </si>
  <si>
    <t>Editat el 12-09-2009 20:50 per en Torn_</t>
  </si>
  <si>
    <t>NCA</t>
  </si>
  <si>
    <t>C. Boicea</t>
  </si>
  <si>
    <t>A. Bartsch</t>
  </si>
  <si>
    <t>Barbera</t>
  </si>
  <si>
    <t>Alex Perez Urbina</t>
  </si>
  <si>
    <t>Boicea</t>
  </si>
  <si>
    <t>Bartsh</t>
  </si>
  <si>
    <t>L. Pouilliers</t>
  </si>
  <si>
    <t>Pouilliers</t>
  </si>
  <si>
    <t>29(18)</t>
  </si>
  <si>
    <t>Gaiza Erretolatza</t>
  </si>
  <si>
    <t>29(25)</t>
  </si>
  <si>
    <t>S. Spanu</t>
  </si>
  <si>
    <t>Spanu</t>
  </si>
  <si>
    <t>Urriategui</t>
  </si>
  <si>
    <t>29(21)</t>
  </si>
  <si>
    <t>Gimenez</t>
  </si>
  <si>
    <t>Esteve</t>
  </si>
  <si>
    <t>29(47)</t>
  </si>
  <si>
    <t>29(48)</t>
  </si>
  <si>
    <t>Minet</t>
  </si>
  <si>
    <t>29(86)</t>
  </si>
  <si>
    <t>Fontalquier</t>
  </si>
  <si>
    <t>Barosinec</t>
  </si>
  <si>
    <t>29(63)</t>
  </si>
  <si>
    <t>Noreña</t>
  </si>
  <si>
    <t>Contamine</t>
  </si>
  <si>
    <t>Buturuga</t>
  </si>
  <si>
    <t>usategui</t>
  </si>
  <si>
    <t>Salzkotten</t>
  </si>
  <si>
    <t>Rolandsson</t>
  </si>
  <si>
    <t>Walaszek</t>
  </si>
  <si>
    <t>Flinik</t>
  </si>
  <si>
    <t>Brita</t>
  </si>
  <si>
    <t>Poblete</t>
  </si>
  <si>
    <t>Tallis</t>
  </si>
  <si>
    <t>Nagy</t>
  </si>
  <si>
    <t>Vendetta</t>
  </si>
  <si>
    <t>Fatjo</t>
  </si>
  <si>
    <t>Jary</t>
  </si>
  <si>
    <t>Petre</t>
  </si>
  <si>
    <t>Gosk</t>
  </si>
  <si>
    <t>Lobo</t>
  </si>
  <si>
    <t>Cuadernigas</t>
  </si>
  <si>
    <t>Amill</t>
  </si>
  <si>
    <t>Makara</t>
  </si>
  <si>
    <t>Mosca</t>
  </si>
  <si>
    <t>29(72)</t>
  </si>
  <si>
    <t>BALANCE DE SITUACION T46</t>
  </si>
  <si>
    <t>IV.57</t>
  </si>
  <si>
    <t>ByP T45</t>
  </si>
  <si>
    <t>ByP T44</t>
  </si>
  <si>
    <t>Vizcaion</t>
  </si>
  <si>
    <t>29(77)</t>
  </si>
  <si>
    <t>A. Vizcaino</t>
  </si>
  <si>
    <t>Prokos</t>
  </si>
  <si>
    <t>29(50)</t>
  </si>
  <si>
    <t>29(59)</t>
  </si>
  <si>
    <t>L. Baltico</t>
  </si>
  <si>
    <t>I. Santasalmi</t>
  </si>
  <si>
    <t>D. Prokos</t>
  </si>
  <si>
    <t>Santasalmi</t>
  </si>
  <si>
    <t>Baltico</t>
  </si>
  <si>
    <t>28(101)</t>
  </si>
  <si>
    <t>28(90)</t>
  </si>
  <si>
    <t>29(10)</t>
  </si>
  <si>
    <t>Descuento por Edad</t>
  </si>
  <si>
    <t>¿Qué sueldo debemos buscar en las tablas? Usando esta fórmula:</t>
  </si>
  <si>
    <t>(Sueldo a buscar en la tabla)=(sueldo actual x 10) / (38 – edad del jugador)</t>
  </si>
  <si>
    <t>% Bajada</t>
  </si>
  <si>
    <t>Sobre 28 años</t>
  </si>
  <si>
    <t>≤ 28</t>
  </si>
  <si>
    <t>-10,00% (1/10)</t>
  </si>
  <si>
    <t>-11,11% (1/9)</t>
  </si>
  <si>
    <t>-12,5% (1/8)</t>
  </si>
  <si>
    <t>-14,29 (1/7)</t>
  </si>
  <si>
    <t>-16,67% (1/6)</t>
  </si>
  <si>
    <t>-20,0% (1/5)</t>
  </si>
  <si>
    <t>-25,0% (1/4)</t>
  </si>
  <si>
    <t>-33,33% (1/3)</t>
  </si>
  <si>
    <t>-50,0% (1/2)</t>
  </si>
  <si>
    <t>sin cambios</t>
  </si>
  <si>
    <t>H. Minwei</t>
  </si>
  <si>
    <t>Minwei</t>
  </si>
  <si>
    <t>29(12)</t>
  </si>
  <si>
    <t>29(19)</t>
  </si>
  <si>
    <t>P-I. Camacho</t>
  </si>
  <si>
    <t xml:space="preserve"> Logros de Partido:</t>
  </si>
  <si>
    <t>• Jugó su primer partidillo de entrenamiento internacional......10 pts</t>
  </si>
  <si>
    <t>• Alineación de jovenzuelos.................................................35 pts</t>
  </si>
  <si>
    <t>(los 11 jugadores que empiezan el partido tienen EDAD MEDIA INFERIOR a 18 años, y al menos uno no es canterano)</t>
  </si>
  <si>
    <t>• Alineación de yogurines....................................................35 pts</t>
  </si>
  <si>
    <t>(los 11 jugadores que empiezan el partido son canteranos u originales del club con EDAD MEDIA INFERIOR a 18 años)</t>
  </si>
  <si>
    <t>• Alineación de veteranos....................................................35 pts</t>
  </si>
  <si>
    <t>(los 11 jugadores que empiezan el partido tienen EDAD MEDIA SUPERIOR a 35 años, y al menos uno no es canterano)</t>
  </si>
  <si>
    <t>• Alineación de Viejas Glorias...............................................25 pts</t>
  </si>
  <si>
    <t>(los 11 jugadores que empiezan el partido son canteranos u originales del club con EDAD MEDIA IGUAL o SUPERIOR a 18 años)</t>
  </si>
  <si>
    <t>Nota: Para los logros de alineación los DIAS no cuentan.</t>
  </si>
  <si>
    <t>• El equipo obtuvo X estrellas en este partido:</t>
  </si>
  <si>
    <t>- [20-29.5] estrellas.................................5 pts</t>
  </si>
  <si>
    <t>- [30-39.5] estrellas...............................10 pts</t>
  </si>
  <si>
    <t>- [40-49.5] estrellas...............................15 pts</t>
  </si>
  <si>
    <t>- [50-59.5] estrellas...............................20 pts</t>
  </si>
  <si>
    <t>- [60-69.5] estrellas...............................25 pts</t>
  </si>
  <si>
    <t>- [70-79.5] estrellas...............................30 pts</t>
  </si>
  <si>
    <t>- [80-89.5] estrellas...............................35 pts</t>
  </si>
  <si>
    <t>- [90-99.5] estrellas...............................50 pts</t>
  </si>
  <si>
    <t>- [100-109.5] estrellas...........................60 pts</t>
  </si>
  <si>
    <t>- [110-114.5] estrellas...........................70 pts</t>
  </si>
  <si>
    <t>- [115-119.5?] estrellas..........................85 pts</t>
  </si>
  <si>
    <t>- [¿120 o más?] estrellas......................100 pts (No comprobado)</t>
  </si>
  <si>
    <t>• El equipo alcanzó una calificación media de:</t>
  </si>
  <si>
    <t>Para calcular tu calificación media:</t>
  </si>
  <si>
    <t>- Los valores numéricos: 1 desastroso, 2 horrible, 3 pobre,...</t>
  </si>
  <si>
    <t>- Subniveles: muy bajo x'12, bajo x'37,alto x'62, muy alto x'87</t>
  </si>
  <si>
    <t>Estos subniveles corresponden al valor númerico medio entre dos subniveles consecutivos. Si es muy justo, es posible que no obtengas el logro por culpa del valor elegido para calcular la media. Para asegurarte, cálculalo con: muy bajo x'0, bajo x'25, alto x'5, muy alto x'75. Si con estos valores obtienes la calificación necesaria seguro que obtines el logro correspondiente.</t>
  </si>
  <si>
    <t>- Dividide entre 7</t>
  </si>
  <si>
    <t>(Ahora existe el promedio de calis de HT asi que no es necesario calcular manualmente.)</t>
  </si>
  <si>
    <t>Editat el 06-10-2012 23:10 per en xkronox</t>
  </si>
  <si>
    <t xml:space="preserve">CopiaVeure les respostes </t>
  </si>
  <si>
    <t>User name colorAfegir usuari a preferits Ignorar Marca com pendents de llegit a partit d'aquí</t>
  </si>
  <si>
    <t>#4: xkronox » #1: Tothom</t>
  </si>
  <si>
    <t>Torna a l'inici! 06-10-2012 22:32Afegeix aquest missatge als preferits [Copia el missatge amb estil últim]</t>
  </si>
  <si>
    <t>xkronox</t>
  </si>
  <si>
    <t>Real Club Serrano</t>
  </si>
  <si>
    <t>Espanya VII.700</t>
  </si>
  <si>
    <t>Logros de Manager:</t>
  </si>
  <si>
    <t>• Escribió un anuncio de prensa...................................10 pts</t>
  </si>
  <si>
    <t>• Escribió un mensaje en la conferencia........................10 pts</t>
  </si>
  <si>
    <t>• La federación fundada, recibió:</t>
  </si>
  <si>
    <t>- [5-9] miembros........................................................5 pts</t>
  </si>
  <si>
    <t>- [10-49] miembros...................................................10 pts</t>
  </si>
  <si>
    <t>- [50-99] miembros...................................................15 pts</t>
  </si>
  <si>
    <t>- [100-499 ] miembros...............................................20 pts</t>
  </si>
  <si>
    <t>- [500-999] miembros................................................30 pts</t>
  </si>
  <si>
    <t>- [1000-1999] miembros...............................................40 pts</t>
  </si>
  <si>
    <t>- [2000-????] miembros...............................................60 pts</t>
  </si>
  <si>
    <t>• Fue elegido entrenador del equipo nacional U20..........35 pts</t>
  </si>
  <si>
    <t>• Ganó las elecciones a entrenador del equipo nacional...50 pts</t>
  </si>
  <si>
    <t>Logros de Menciones especiales:</t>
  </si>
  <si>
    <t>• Grupo de jugadores agradables (buen CARÁCTER)........15 pts</t>
  </si>
  <si>
    <t>• Grupo de jugadores antipáticos (mal CARÁCTER)..........15 pts</t>
  </si>
  <si>
    <t>• Grupo de jugadores honestos (buena HONESTIDAD)......15 pts</t>
  </si>
  <si>
    <t>• Grupo de jugadores deshonestos (mala HONESTIDAD)...15 pts</t>
  </si>
  <si>
    <t>Para estos logros cuenta TODA LA PLANTILLA (el entrenador también) y hay que tener mas de un jugador (solo con el entrenador no vale, pero no se sabe cual es el mínimo de jugadores).</t>
  </si>
  <si>
    <t>Sólo hay logros de carácter y honestidad no de agresividad.</t>
  </si>
  <si>
    <t>Si las escalas de personalidad se empiezan a medir desde 0 los valores medios límites son 0,25 y 3,75 (ambos no inclusive)</t>
  </si>
  <si>
    <t>Ejemplos:</t>
  </si>
  <si>
    <t>- 17 Antipáticos (0) + 3 Polémicos (1) + 1 Agradable (2), Media -&amp;gt; 17*0 + 3*1 + 1*2 = 5/21 = 0,23 -&amp;gt; OBTIENES logro (mal carácter)</t>
  </si>
  <si>
    <t>- 15 Honorables (4) + 6 Justos (3), Media -&amp;gt; 15*4 + 6*3 = 78/21 = 3,71 -&amp;gt; NO OBTIENES logro (buena honestidad)</t>
  </si>
  <si>
    <t>Nota: Esto sirve para hacer una estimacion ya que los valores tienen subniveles imposibles de saber.</t>
  </si>
  <si>
    <t>Logros de Equipo:</t>
  </si>
  <si>
    <t>• Vendió un jugador....................................10 pts</t>
  </si>
  <si>
    <t>• Compró un jugador...................................10 pts</t>
  </si>
  <si>
    <t>• Sacó un juvenil..........................................10 pts</t>
  </si>
  <si>
    <t>Sólo cuenta con la vieja cantera</t>
  </si>
  <si>
    <t>• Vendió un juvenil recomprado....................10 pts</t>
  </si>
  <si>
    <t>vender un jugador, juvenil u original del club, volverlo a comprar y venderlo de nuevo</t>
  </si>
  <si>
    <t>• Volvió a comprar un juvenil.........................10 pts</t>
  </si>
  <si>
    <t>vender un jugador, juvenil u original del club y volverlo a comprar</t>
  </si>
  <si>
    <t>• Vendió un juvenil........................................10 pts</t>
  </si>
  <si>
    <t>NOTA:</t>
  </si>
  <si>
    <t>Si vendes canterano y te lo compras tu mismo: no da logro. Pero si una vez comprado ese canterano, lo vendes a otro equipo: sí te dan el logro de vendió un juvenil.</t>
  </si>
  <si>
    <t>• Subió la habilidad del jugador......................10 pts</t>
  </si>
  <si>
    <t>• Jugador enviado al Salón de la Fama...........15 pts</t>
  </si>
  <si>
    <t>• Rey de las finanzas:</t>
  </si>
  <si>
    <t>- [500.000€-1.999.999€]...................................5 pts</t>
  </si>
  <si>
    <t>- [2.000.000€-4.999.999€]..............................15 pts</t>
  </si>
  <si>
    <t>- [5.000.000€-9.999.999€]..............................25 pts</t>
  </si>
  <si>
    <t>- [10.000.000€-???].........................................35 pts</t>
  </si>
  <si>
    <t>si antes de la actualización tienes el dinero requerido entre paréntesis, se obtiene el logro</t>
  </si>
  <si>
    <t>• El grupo alcanzó un TSI de:</t>
  </si>
  <si>
    <t>- [30.000-79.999]..............................................5 pts</t>
  </si>
  <si>
    <t>- [80.000-159.999]..........................................10 pts</t>
  </si>
  <si>
    <t>- [160.000-299.999]........................................15 pts</t>
  </si>
  <si>
    <t>- [300.000-599.999]........................................20 pts</t>
  </si>
  <si>
    <t>- [600.000-1.199.999].....................................30 pts</t>
  </si>
  <si>
    <t>- [1.200.000-1.499.999]..................................50 pts</t>
  </si>
  <si>
    <t>- [1.500.000-1.999.999]..................................65 pts</t>
  </si>
  <si>
    <t>- [a partir de 2.000.000]..................................80 pts</t>
  </si>
  <si>
    <t>• El club de socios llegó a X miembros:</t>
  </si>
  <si>
    <t>- [1000-1999 socios]..........................................5 pts</t>
  </si>
  <si>
    <t>- [2000-2999 socios]........................................15 pts</t>
  </si>
  <si>
    <t>- [3.000-3.499 socis]........................................30 pts</t>
  </si>
  <si>
    <t>- [3.500-???].....................................................50 pts</t>
  </si>
  <si>
    <t>• El equipo estaba en el puesto:</t>
  </si>
  <si>
    <t>- [15.001-25.000]...............................................5 pts</t>
  </si>
  <si>
    <t>- [10.001-15.000].............................................10 pts</t>
  </si>
  <si>
    <t>- [5.001-10.000]...............................................15 pts</t>
  </si>
  <si>
    <t>- [3.001-5.000].................................................20 pts</t>
  </si>
  <si>
    <t>- [2.001-3.000].................................................25 pts</t>
  </si>
  <si>
    <t>- [1.001-2.000].................................................30 pts</t>
  </si>
  <si>
    <t>- [501-1.000]....................................................35 pts</t>
  </si>
  <si>
    <t>- [101-500].......................................................40 pts</t>
  </si>
  <si>
    <t>- [51-100].........................................................45 pts</t>
  </si>
  <si>
    <t>- [2-50].............................................................50 pts</t>
  </si>
  <si>
    <t>- [1]............................................................... 100 pts</t>
  </si>
  <si>
    <t>• Pasó la ronda X en Copa:</t>
  </si>
  <si>
    <t>- Ronda 3.........................................................10 pts</t>
  </si>
  <si>
    <t>- Ronda 7.........................................................20 pts</t>
  </si>
  <si>
    <t>- Ronda 10.......................................................35 pts</t>
  </si>
  <si>
    <t>- Ronda 13.......................................................45 pts</t>
  </si>
  <si>
    <t>- Ronda 14.......................................................65 pts</t>
  </si>
  <si>
    <t>(hay que superar la ronda)</t>
  </si>
  <si>
    <t>• Compró al menos X bonos en el Banque Sunesson:</t>
  </si>
  <si>
    <t>- 1 bonos...........................................................5 pts</t>
  </si>
  <si>
    <t>- 5 bonos.........................................................10 pts</t>
  </si>
  <si>
    <t>- 10 bonos.......................................................15 pts</t>
  </si>
  <si>
    <t>Editat el 06-10-2012 23:09 per en xkronox</t>
  </si>
  <si>
    <t>29(29)</t>
  </si>
  <si>
    <t>Pahl</t>
  </si>
  <si>
    <t>29(6)</t>
  </si>
  <si>
    <t>A. Pahl</t>
  </si>
  <si>
    <t>29(13)</t>
  </si>
  <si>
    <t>Ahfeldt</t>
  </si>
  <si>
    <t>BPMin</t>
  </si>
  <si>
    <t>BPMax</t>
  </si>
  <si>
    <t xml:space="preserve">Tipus d'entrenament </t>
  </si>
  <si>
    <t xml:space="preserve">Nombre d'equips </t>
  </si>
  <si>
    <t xml:space="preserve">Pilota aturada </t>
  </si>
  <si>
    <t xml:space="preserve">Defensa </t>
  </si>
  <si>
    <t xml:space="preserve">Anotació </t>
  </si>
  <si>
    <t xml:space="preserve">Centrades (Extrem) </t>
  </si>
  <si>
    <t xml:space="preserve">Xuts </t>
  </si>
  <si>
    <t xml:space="preserve">Passades curtes </t>
  </si>
  <si>
    <t xml:space="preserve">Creativitat </t>
  </si>
  <si>
    <t xml:space="preserve">Porteria </t>
  </si>
  <si>
    <t xml:space="preserve">Passades llargues </t>
  </si>
  <si>
    <t xml:space="preserve">Posicions defensives </t>
  </si>
  <si>
    <t xml:space="preserve">Atacs per les bandes </t>
  </si>
  <si>
    <t>Gorocs</t>
  </si>
  <si>
    <t>Pradel</t>
  </si>
  <si>
    <t>Meir</t>
  </si>
  <si>
    <t>Dechticky</t>
  </si>
  <si>
    <t>Alexandre</t>
  </si>
  <si>
    <t>Witas</t>
  </si>
  <si>
    <t>Monduzzi</t>
  </si>
  <si>
    <t>TSI Inicial</t>
  </si>
  <si>
    <t>Primera Bajada</t>
  </si>
  <si>
    <t>Actualización1</t>
  </si>
  <si>
    <t>Actualización2</t>
  </si>
  <si>
    <t>Actualización3</t>
  </si>
  <si>
    <t>Actualización4</t>
  </si>
  <si>
    <t>Actualización5</t>
  </si>
  <si>
    <t>Actualización6</t>
  </si>
  <si>
    <t>Actualización7</t>
  </si>
  <si>
    <t>Actualización8</t>
  </si>
  <si>
    <t>Actualización9</t>
  </si>
  <si>
    <t>Actualización10</t>
  </si>
  <si>
    <t>Actualización11</t>
  </si>
  <si>
    <t>Actualización12</t>
  </si>
  <si>
    <t>Actualización13</t>
  </si>
  <si>
    <t>Actualización14</t>
  </si>
  <si>
    <t>Actualización15</t>
  </si>
  <si>
    <t>Portero</t>
  </si>
  <si>
    <t>EXTDEF</t>
  </si>
  <si>
    <t>MDEF</t>
  </si>
  <si>
    <t>EXTOF</t>
  </si>
  <si>
    <t>DAV</t>
  </si>
  <si>
    <t>CosteTemporada</t>
  </si>
  <si>
    <t>FechaCompra</t>
  </si>
  <si>
    <t>FechaVenta</t>
  </si>
  <si>
    <t>PrecioVenta</t>
  </si>
  <si>
    <t>LID</t>
  </si>
  <si>
    <t>RES</t>
  </si>
  <si>
    <t>FOR</t>
  </si>
  <si>
    <t>FID</t>
  </si>
  <si>
    <t>JUG</t>
  </si>
  <si>
    <t>DEFLAT</t>
  </si>
  <si>
    <t>DEFCEN</t>
  </si>
  <si>
    <t>MED</t>
  </si>
  <si>
    <t>ATLAT</t>
  </si>
  <si>
    <t>ATCEN</t>
  </si>
  <si>
    <t>Fabiszewski</t>
  </si>
  <si>
    <t>Bernardi</t>
  </si>
  <si>
    <t>Wing Def (jugadas skill)</t>
  </si>
  <si>
    <t>Wing Off (jugadas skill)</t>
  </si>
  <si>
    <t>IM normal (scoring skill)</t>
  </si>
  <si>
    <t>IM defensive (scoring skill)</t>
  </si>
  <si>
    <t xml:space="preserve">IM offensive (scoring skill) </t>
  </si>
  <si>
    <t>Fwd normal (jugadas skill)</t>
  </si>
  <si>
    <t>Fwd TW (jugadas skill)</t>
  </si>
  <si>
    <t>BALANCE DE SITUACION T47</t>
  </si>
  <si>
    <t>ByP T46</t>
  </si>
  <si>
    <t>Transferencias de jugadores T47</t>
  </si>
  <si>
    <t>7-7,99</t>
  </si>
  <si>
    <t>3-3.99</t>
  </si>
  <si>
    <t>&lt;3,99</t>
  </si>
  <si>
    <t>8-8,99</t>
  </si>
  <si>
    <t>2-2,99</t>
  </si>
  <si>
    <t>4-8,99</t>
  </si>
  <si>
    <t>9-9,99</t>
  </si>
  <si>
    <t>6-10,99</t>
  </si>
  <si>
    <t>1-1,99</t>
  </si>
  <si>
    <t>7-9,99</t>
  </si>
  <si>
    <t>9-11,99</t>
  </si>
  <si>
    <t>12-16,99</t>
  </si>
  <si>
    <t>Precio(m)</t>
  </si>
  <si>
    <t>10-14,99</t>
  </si>
  <si>
    <t>5-5,99</t>
  </si>
  <si>
    <t>11-15,99</t>
  </si>
  <si>
    <t>4-4,99</t>
  </si>
  <si>
    <t>10-10,99</t>
  </si>
  <si>
    <t>6-8,99</t>
  </si>
  <si>
    <t>8-12,99</t>
  </si>
  <si>
    <t>2-6,99</t>
  </si>
  <si>
    <t>15-15,99</t>
  </si>
  <si>
    <t>9-13,99</t>
  </si>
  <si>
    <t>7-11,99</t>
  </si>
  <si>
    <t>7-10,99</t>
  </si>
  <si>
    <t>Etiquetas de columna</t>
  </si>
  <si>
    <t>Etiquetas de fila</t>
  </si>
  <si>
    <t>Promedio de Precio(m)</t>
  </si>
  <si>
    <t>3-7,99</t>
  </si>
  <si>
    <t>Fichar en debil BP, por debajo se valora igual</t>
  </si>
  <si>
    <t>Vender en Formidable-destacado BP, hay que subir muuucho para que se tenga en cuenta</t>
  </si>
  <si>
    <t>Vazquez</t>
  </si>
  <si>
    <t>Fialho</t>
  </si>
  <si>
    <t>Gruszkiewicz</t>
  </si>
  <si>
    <t>26(33)</t>
  </si>
  <si>
    <t>Orozco león</t>
  </si>
  <si>
    <t>Boinburg</t>
  </si>
  <si>
    <t>Boici</t>
  </si>
  <si>
    <t>Roefke</t>
  </si>
  <si>
    <t>Bergquist</t>
  </si>
  <si>
    <t>Vizcaino</t>
  </si>
  <si>
    <t>Situacion1</t>
  </si>
  <si>
    <t>Situacion2</t>
  </si>
  <si>
    <t>Transformacion</t>
  </si>
  <si>
    <t>Thiantong</t>
  </si>
  <si>
    <t>Grosen</t>
  </si>
  <si>
    <t>Lavater</t>
  </si>
  <si>
    <t>Boesso</t>
  </si>
  <si>
    <t>Huon</t>
  </si>
  <si>
    <t>Fonvielle</t>
  </si>
  <si>
    <t>Weikersheim</t>
  </si>
  <si>
    <t>Hemr</t>
  </si>
  <si>
    <t>Seró</t>
  </si>
  <si>
    <t>Ilisie</t>
  </si>
  <si>
    <t>Tolli</t>
  </si>
  <si>
    <t>Kandybin</t>
  </si>
  <si>
    <t>Blazquez</t>
  </si>
  <si>
    <t>Manolescu</t>
  </si>
  <si>
    <t>Nitu</t>
  </si>
  <si>
    <t>Szychowiak</t>
  </si>
  <si>
    <t>Sala</t>
  </si>
  <si>
    <t>Teitto</t>
  </si>
  <si>
    <t>Quintana</t>
  </si>
  <si>
    <t>Foit</t>
  </si>
  <si>
    <t>Cieslar</t>
  </si>
  <si>
    <t>Sulzberger</t>
  </si>
  <si>
    <t>22(53)</t>
  </si>
  <si>
    <t>Langenforth</t>
  </si>
  <si>
    <t>Karolev</t>
  </si>
  <si>
    <t>Tyler</t>
  </si>
  <si>
    <t>Gherzi</t>
  </si>
  <si>
    <t>Matamales</t>
  </si>
  <si>
    <t>Hamrozi</t>
  </si>
  <si>
    <t>21(60)</t>
  </si>
  <si>
    <t>Davalos</t>
  </si>
  <si>
    <t>21(70)</t>
  </si>
  <si>
    <t>Colesniuc</t>
  </si>
  <si>
    <t>Van der Linden</t>
  </si>
  <si>
    <t>Mario Campaniello</t>
  </si>
  <si>
    <t>Gabriel Flores</t>
  </si>
  <si>
    <t>Rossi Silva</t>
  </si>
  <si>
    <t>Nisporsky</t>
  </si>
  <si>
    <t>Pospesek</t>
  </si>
  <si>
    <t>Minichino</t>
  </si>
  <si>
    <t>Tarafa</t>
  </si>
  <si>
    <t>Jolonch</t>
  </si>
  <si>
    <t>Budusan</t>
  </si>
  <si>
    <t>Trequittine</t>
  </si>
  <si>
    <t>Fiorilli</t>
  </si>
  <si>
    <t>medyesi</t>
  </si>
  <si>
    <t>The Thien</t>
  </si>
  <si>
    <t>Marzea</t>
  </si>
  <si>
    <t>Crsanai</t>
  </si>
  <si>
    <t>Pakiam</t>
  </si>
  <si>
    <t>Risquist</t>
  </si>
  <si>
    <t>21(48)</t>
  </si>
  <si>
    <t>21(72)</t>
  </si>
  <si>
    <t>Voet</t>
  </si>
  <si>
    <t>22(106)</t>
  </si>
  <si>
    <t>Collinet</t>
  </si>
  <si>
    <t>23(39)</t>
  </si>
  <si>
    <t>Kortenhof</t>
  </si>
  <si>
    <t>Kallovaarra</t>
  </si>
  <si>
    <t>Fiumara</t>
  </si>
  <si>
    <t>Dana</t>
  </si>
  <si>
    <t>Stifler</t>
  </si>
  <si>
    <t>Moss</t>
  </si>
  <si>
    <t>26(64)</t>
  </si>
  <si>
    <t>Bello</t>
  </si>
  <si>
    <t>V.166</t>
  </si>
  <si>
    <t>BALANCE DE SITUACION T48</t>
  </si>
  <si>
    <t>Transferencias de jugadores T48</t>
  </si>
  <si>
    <t>ByP T47</t>
  </si>
  <si>
    <t>B/P Act</t>
  </si>
  <si>
    <t>Caja Final</t>
  </si>
  <si>
    <t>Dif</t>
  </si>
  <si>
    <t>Pagos-Ingresos</t>
  </si>
  <si>
    <t>Piña</t>
  </si>
  <si>
    <t>Herber</t>
  </si>
  <si>
    <t>Ialdebere</t>
  </si>
  <si>
    <t>Machena</t>
  </si>
  <si>
    <t>26(0)</t>
  </si>
  <si>
    <t>Ossdrijver</t>
  </si>
  <si>
    <t>Nagiturri</t>
  </si>
  <si>
    <t>26(41)</t>
  </si>
  <si>
    <t>26(46)</t>
  </si>
  <si>
    <t xml:space="preserve">Divisió </t>
  </si>
  <si>
    <t xml:space="preserve">Nivell </t>
  </si>
  <si>
    <t xml:space="preserve">I </t>
  </si>
  <si>
    <t xml:space="preserve">II </t>
  </si>
  <si>
    <t xml:space="preserve">III </t>
  </si>
  <si>
    <t xml:space="preserve">IV </t>
  </si>
  <si>
    <t xml:space="preserve">V </t>
  </si>
  <si>
    <t xml:space="preserve">VI </t>
  </si>
  <si>
    <t>Mantenimiento</t>
  </si>
  <si>
    <t>Coste/Sem</t>
  </si>
  <si>
    <t>Construcción</t>
  </si>
  <si>
    <t>Destrucción</t>
  </si>
  <si>
    <t>GG</t>
  </si>
  <si>
    <t xml:space="preserve">Estado de ánimo </t>
  </si>
  <si>
    <t>Estimación GG Llena (8)</t>
  </si>
  <si>
    <t>Estimación Preferente Llena (8)</t>
  </si>
  <si>
    <t>Estimación Tribuna llena (8)</t>
  </si>
  <si>
    <t>Estimación Paclo Lleno (8)</t>
  </si>
  <si>
    <t>Propuesta</t>
  </si>
  <si>
    <t>Partidos Liga</t>
  </si>
  <si>
    <t>Partidos Copa</t>
  </si>
  <si>
    <t>Mant/Sem</t>
  </si>
  <si>
    <t>Mantenimiento Actual</t>
  </si>
  <si>
    <t>Mantenimiento GG Lleno</t>
  </si>
  <si>
    <t>Mantenimiento Pref Llena</t>
  </si>
  <si>
    <t>Mantenimiento Tribuna Llena</t>
  </si>
  <si>
    <t>Mantenimiento Palco Lleno</t>
  </si>
  <si>
    <t>Mantenimiento GG Vacia</t>
  </si>
  <si>
    <t>Mantenimiento Pref Vacia</t>
  </si>
  <si>
    <t>Mantenimiento Tribuna Vacia</t>
  </si>
  <si>
    <t>Mantenimiento Palco Vacia</t>
  </si>
  <si>
    <t>IngLleno</t>
  </si>
  <si>
    <t>Actual Grada</t>
  </si>
  <si>
    <t>Actual Preferente</t>
  </si>
  <si>
    <t>Actual Tribuna</t>
  </si>
  <si>
    <t>Actual Palco</t>
  </si>
  <si>
    <t>Ingresos ActualGG:</t>
  </si>
  <si>
    <t>Ingresos AcPreferentes:</t>
  </si>
  <si>
    <t>Ingresos AcTribunas:</t>
  </si>
  <si>
    <t>Ingresos Actual Palcos:</t>
  </si>
  <si>
    <t>Ingresos PropuestaGG:</t>
  </si>
  <si>
    <t>Ingresos ProPreferentes:</t>
  </si>
  <si>
    <t>Ingresos ProTribunas:</t>
  </si>
  <si>
    <t>Ingresos ProPalcos:</t>
  </si>
  <si>
    <t>Propuesta Grada</t>
  </si>
  <si>
    <t>Propuesta Preferente</t>
  </si>
  <si>
    <t>Propuesta Tribuna</t>
  </si>
  <si>
    <t>Propuesta Palco</t>
  </si>
  <si>
    <t>Coste Con/Des GG</t>
  </si>
  <si>
    <t>Coste Con/Des Preferente</t>
  </si>
  <si>
    <t>Coste Con/Des Tribuna</t>
  </si>
  <si>
    <t>Coste Con/Des Palcos</t>
  </si>
  <si>
    <t>Total Obras</t>
  </si>
  <si>
    <t>Coste Fijo Obras</t>
  </si>
  <si>
    <t>TotalObras</t>
  </si>
  <si>
    <t>BEN/PER Actual</t>
  </si>
  <si>
    <t>BEN/PER Obras/Sem</t>
  </si>
  <si>
    <t>Destrucion</t>
  </si>
  <si>
    <t>AhorroMan</t>
  </si>
  <si>
    <t>Contru</t>
  </si>
  <si>
    <t>SemVACIO</t>
  </si>
  <si>
    <t>Ronda4</t>
  </si>
  <si>
    <t>F</t>
  </si>
  <si>
    <t>PLA</t>
  </si>
  <si>
    <t>Dzienis</t>
  </si>
  <si>
    <t>26(61)</t>
  </si>
  <si>
    <t>Spiniski</t>
  </si>
  <si>
    <t>26(67)</t>
  </si>
  <si>
    <t>26(72)</t>
  </si>
  <si>
    <t>26(81)</t>
  </si>
  <si>
    <t>Lopez Negredo</t>
  </si>
  <si>
    <t>Olthuis</t>
  </si>
  <si>
    <t>Serfel</t>
  </si>
  <si>
    <t>Gorosurreta</t>
  </si>
  <si>
    <t>26(110)</t>
  </si>
  <si>
    <t>Lecumberri</t>
  </si>
  <si>
    <t>27(2)</t>
  </si>
  <si>
    <t>Gonzalez-Colloto</t>
  </si>
  <si>
    <t>Juarez Sierra</t>
  </si>
  <si>
    <t>Mathiesen</t>
  </si>
  <si>
    <t>Edge</t>
  </si>
  <si>
    <t>Gorostola</t>
  </si>
  <si>
    <t>Vitulli</t>
  </si>
  <si>
    <t>Swinbrun</t>
  </si>
  <si>
    <t>Tavecchio</t>
  </si>
  <si>
    <t>Boccalatte</t>
  </si>
  <si>
    <t>27(19)</t>
  </si>
  <si>
    <t>27(41)</t>
  </si>
  <si>
    <t>27(47)</t>
  </si>
  <si>
    <t>Kalckstein</t>
  </si>
  <si>
    <t>Rezza</t>
  </si>
  <si>
    <t>BALANCE DE SITUACION T49</t>
  </si>
  <si>
    <t>Transferencias de jugadores T49</t>
  </si>
  <si>
    <t>ByP T48</t>
  </si>
  <si>
    <t>27(18)</t>
  </si>
  <si>
    <t>Romerales</t>
  </si>
  <si>
    <t>Caballero</t>
  </si>
  <si>
    <t>27(26)</t>
  </si>
  <si>
    <t>27(33)</t>
  </si>
  <si>
    <t>Sanin</t>
  </si>
  <si>
    <t>27(29)</t>
  </si>
  <si>
    <t>27(37)</t>
  </si>
  <si>
    <t>Luna</t>
  </si>
  <si>
    <t>Sitter</t>
  </si>
  <si>
    <t>27(27)</t>
  </si>
  <si>
    <t>Hipolito</t>
  </si>
  <si>
    <t>Becerril</t>
  </si>
  <si>
    <t>Reinhart</t>
  </si>
  <si>
    <t>Despla</t>
  </si>
  <si>
    <t>27(53)</t>
  </si>
  <si>
    <t>27(60)</t>
  </si>
  <si>
    <t>27(67)</t>
  </si>
  <si>
    <t>Paizs</t>
  </si>
  <si>
    <t>27(75)</t>
  </si>
  <si>
    <t>27(82)</t>
  </si>
  <si>
    <t>Wicinski</t>
  </si>
  <si>
    <t>Cotticelli</t>
  </si>
  <si>
    <t>Mindur</t>
  </si>
  <si>
    <t>28(33)</t>
  </si>
  <si>
    <t>BALANCE DE SITUACION T50</t>
  </si>
  <si>
    <t>Transferencias de jugadores T50</t>
  </si>
  <si>
    <t>ByP T49</t>
  </si>
  <si>
    <t>Alarotu</t>
  </si>
  <si>
    <r>
      <t xml:space="preserve">Let's start with classes of players according to their </t>
    </r>
    <r>
      <rPr>
        <b/>
        <sz val="12"/>
        <color theme="1"/>
        <rFont val="Calibri"/>
        <family val="2"/>
        <scheme val="minor"/>
      </rPr>
      <t>aggressiveness</t>
    </r>
  </si>
  <si>
    <t>TRANQUIL</t>
  </si>
  <si>
    <t>CALM</t>
  </si>
  <si>
    <t>BALANCED</t>
  </si>
  <si>
    <t>TEMPERAMENTAL</t>
  </si>
  <si>
    <t>FIERY</t>
  </si>
  <si>
    <t>P de tarjeta</t>
  </si>
  <si>
    <t>P Expulsión</t>
  </si>
  <si>
    <r>
      <t xml:space="preserve">We continue considering the </t>
    </r>
    <r>
      <rPr>
        <b/>
        <sz val="12"/>
        <color rgb="FF000000"/>
        <rFont val="Calibri"/>
        <family val="2"/>
        <scheme val="minor"/>
      </rPr>
      <t>HONESTY</t>
    </r>
  </si>
  <si>
    <t>INFAMOUS</t>
  </si>
  <si>
    <t>DISHONEST</t>
  </si>
  <si>
    <t>HONEST</t>
  </si>
  <si>
    <t>UPRIGHT</t>
  </si>
  <si>
    <t>RIGHTEOUS</t>
  </si>
  <si>
    <t>Insurandiaga</t>
  </si>
  <si>
    <t>Dupré</t>
  </si>
  <si>
    <t>27(81)</t>
  </si>
  <si>
    <t>27(100)</t>
  </si>
  <si>
    <t>27(109)</t>
  </si>
  <si>
    <t>27(95)</t>
  </si>
  <si>
    <t>27(102)</t>
  </si>
  <si>
    <t>Julian Sander</t>
  </si>
  <si>
    <t>28(4)</t>
  </si>
  <si>
    <t>AÑOS</t>
  </si>
  <si>
    <t>DIAS</t>
  </si>
  <si>
    <t>Amatu Salaburu</t>
  </si>
  <si>
    <t>28(13)</t>
  </si>
  <si>
    <t>28(21)</t>
  </si>
  <si>
    <t>Ramon Estebanez</t>
  </si>
  <si>
    <t>28(55)</t>
  </si>
  <si>
    <t>Federico Zurica</t>
  </si>
  <si>
    <t>28(60)</t>
  </si>
  <si>
    <t>Zwaan</t>
  </si>
  <si>
    <t>29(0)</t>
  </si>
  <si>
    <t>Warner</t>
  </si>
  <si>
    <t>IV.24</t>
  </si>
  <si>
    <t>BALANCE DE SITUACION T51</t>
  </si>
  <si>
    <t>Transferencias de jugadores T51</t>
  </si>
  <si>
    <t>ByP T50</t>
  </si>
  <si>
    <t>28(76)</t>
  </si>
  <si>
    <t>Freischlager</t>
  </si>
  <si>
    <t>Starzomski</t>
  </si>
  <si>
    <t>Bellon</t>
  </si>
  <si>
    <t>Valderrama</t>
  </si>
  <si>
    <t>Sansao Trindade</t>
  </si>
  <si>
    <t>Alejandro Fernandez</t>
  </si>
  <si>
    <t>29(81)</t>
  </si>
  <si>
    <t>29(87)</t>
  </si>
  <si>
    <t>29(34)</t>
  </si>
  <si>
    <t>Thomas</t>
  </si>
  <si>
    <t>Caminero</t>
  </si>
  <si>
    <t>29(71)</t>
  </si>
  <si>
    <t>29(75)</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</si>
</sst>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_-* #,##0.00\ [$€-C0A]_-;\-* #,##0.00\ [$€-C0A]_-;_-* &quot;-&quot;??\ [$€-C0A]_-;_-@_-"/>
    <numFmt numFmtId="165" formatCode="0.0"/>
    <numFmt numFmtId="166" formatCode="_-* #,##0\ &quot;€&quot;_-;\-* #,##0\ &quot;€&quot;_-;_-* &quot;-&quot;??\ &quot;€&quot;_-;_-@_-"/>
    <numFmt numFmtId="167" formatCode="_-* #,##0\ [$€-C0A]_-;\-* #,##0\ [$€-C0A]_-;_-* &quot;-&quot;??\ [$€-C0A]_-;_-@_-"/>
    <numFmt numFmtId="168" formatCode="0.0%"/>
    <numFmt numFmtId="169" formatCode="_-* #,##0\ _€_-;\-* #,##0\ _€_-;_-* &quot;-&quot;??\ _€_-;_-@_-"/>
    <numFmt numFmtId="170" formatCode="_-* #,##0.0\ _€_-;\-* #,##0.0\ _€_-;_-* &quot;-&quot;??\ _€_-;_-@_-"/>
    <numFmt numFmtId="171" formatCode="0.000"/>
    <numFmt numFmtId="172" formatCode="_-* #,##0.0\ _€_-;\-* #,##0.0\ _€_-;_-* &quot;-&quot;?\ _€_-;_-@_-"/>
    <numFmt numFmtId="173" formatCode="0.0000"/>
    <numFmt numFmtId="174" formatCode="_-* #,##0.0\ &quot;€&quot;_-;\-* #,##0.0\ &quot;€&quot;_-;_-* &quot;-&quot;?\ &quot;€&quot;_-;_-@_-"/>
  </numFmts>
  <fonts count="75" x14ac:knownFonts="1">
    <font>
      <sz val="11"/>
      <color theme="1"/>
      <name val="Calibri"/>
      <family val="2"/>
      <scheme val="minor"/>
    </font>
    <font>
      <b/>
      <sz val="11"/>
      <color theme="1"/>
      <name val="Calibri"/>
      <family val="2"/>
      <scheme val="minor"/>
    </font>
    <font>
      <b/>
      <sz val="18"/>
      <color theme="1"/>
      <name val="Calibri"/>
      <family val="2"/>
      <scheme val="minor"/>
    </font>
    <font>
      <u/>
      <sz val="11"/>
      <color theme="10"/>
      <name val="Calibri"/>
      <family val="2"/>
    </font>
    <font>
      <b/>
      <sz val="14"/>
      <color theme="1"/>
      <name val="Calibri"/>
      <family val="2"/>
      <scheme val="minor"/>
    </font>
    <font>
      <b/>
      <sz val="14"/>
      <color theme="0"/>
      <name val="Calibri"/>
      <family val="2"/>
      <scheme val="minor"/>
    </font>
    <font>
      <sz val="11"/>
      <color theme="1"/>
      <name val="Calibri"/>
      <family val="2"/>
      <scheme val="minor"/>
    </font>
    <font>
      <sz val="7.5"/>
      <color theme="1"/>
      <name val="Calibri"/>
      <family val="2"/>
      <scheme val="minor"/>
    </font>
    <font>
      <b/>
      <sz val="7.5"/>
      <color theme="1"/>
      <name val="Calibri"/>
      <family val="2"/>
      <scheme val="minor"/>
    </font>
    <font>
      <b/>
      <sz val="7.5"/>
      <color rgb="FFFFFFFF"/>
      <name val="Calibri"/>
      <family val="2"/>
      <scheme val="minor"/>
    </font>
    <font>
      <sz val="8"/>
      <color indexed="81"/>
      <name val="Tahoma"/>
      <family val="2"/>
    </font>
    <font>
      <b/>
      <sz val="8"/>
      <color indexed="81"/>
      <name val="Tahoma"/>
      <family val="2"/>
    </font>
    <font>
      <b/>
      <sz val="14"/>
      <color theme="6" tint="-0.499984740745262"/>
      <name val="Calibri"/>
      <family val="2"/>
      <scheme val="minor"/>
    </font>
    <font>
      <b/>
      <sz val="14"/>
      <color rgb="FFFF0000"/>
      <name val="Calibri"/>
      <family val="2"/>
      <scheme val="minor"/>
    </font>
    <font>
      <sz val="8"/>
      <color theme="1"/>
      <name val="Times New Roman"/>
      <family val="1"/>
    </font>
    <font>
      <sz val="14"/>
      <color theme="1"/>
      <name val="Calibri"/>
      <family val="2"/>
      <scheme val="minor"/>
    </font>
    <font>
      <b/>
      <sz val="8"/>
      <color theme="1"/>
      <name val="Times New Roman"/>
      <family val="1"/>
    </font>
    <font>
      <u/>
      <sz val="11"/>
      <color theme="1"/>
      <name val="Calibri"/>
      <family val="2"/>
      <scheme val="minor"/>
    </font>
    <font>
      <b/>
      <u/>
      <sz val="11"/>
      <color theme="1"/>
      <name val="Calibri"/>
      <family val="2"/>
      <scheme val="minor"/>
    </font>
    <font>
      <sz val="14"/>
      <color rgb="FFFF0000"/>
      <name val="Calibri"/>
      <family val="2"/>
      <scheme val="minor"/>
    </font>
    <font>
      <sz val="11"/>
      <name val="Calibri"/>
      <family val="2"/>
      <scheme val="minor"/>
    </font>
    <font>
      <b/>
      <sz val="10"/>
      <color theme="1"/>
      <name val="Calibri"/>
      <family val="2"/>
      <scheme val="minor"/>
    </font>
    <font>
      <b/>
      <i/>
      <sz val="11"/>
      <color theme="1"/>
      <name val="Calibri"/>
      <family val="2"/>
      <scheme val="minor"/>
    </font>
    <font>
      <b/>
      <sz val="11"/>
      <name val="Calibri"/>
      <family val="2"/>
      <scheme val="minor"/>
    </font>
    <font>
      <sz val="12"/>
      <color theme="1"/>
      <name val="Times New Roman"/>
      <family val="1"/>
    </font>
    <font>
      <sz val="11"/>
      <color indexed="8"/>
      <name val="Calibri"/>
      <family val="2"/>
      <charset val="1"/>
    </font>
    <font>
      <b/>
      <sz val="11"/>
      <color theme="9" tint="-0.499984740745262"/>
      <name val="Calibri"/>
      <family val="2"/>
      <scheme val="minor"/>
    </font>
    <font>
      <b/>
      <sz val="8"/>
      <color theme="1"/>
      <name val="Calibri"/>
      <family val="2"/>
      <scheme val="minor"/>
    </font>
    <font>
      <i/>
      <sz val="8"/>
      <color theme="1"/>
      <name val="Calibri"/>
      <family val="2"/>
      <scheme val="minor"/>
    </font>
    <font>
      <sz val="8"/>
      <color theme="1"/>
      <name val="Calibri"/>
      <family val="2"/>
      <scheme val="minor"/>
    </font>
    <font>
      <b/>
      <sz val="8"/>
      <color rgb="FFFFFFFF"/>
      <name val="Calibri"/>
      <family val="2"/>
      <scheme val="minor"/>
    </font>
    <font>
      <sz val="8"/>
      <color rgb="FFFFFFFF"/>
      <name val="Calibri"/>
      <family val="2"/>
      <scheme val="minor"/>
    </font>
    <font>
      <b/>
      <sz val="11"/>
      <color rgb="FFFF0000"/>
      <name val="Calibri"/>
      <family val="2"/>
      <scheme val="minor"/>
    </font>
    <font>
      <b/>
      <sz val="14"/>
      <color theme="1" tint="0.499984740745262"/>
      <name val="Calibri"/>
      <family val="2"/>
      <scheme val="minor"/>
    </font>
    <font>
      <b/>
      <sz val="12"/>
      <color theme="1"/>
      <name val="Calibri"/>
      <family val="2"/>
      <scheme val="minor"/>
    </font>
    <font>
      <b/>
      <sz val="12"/>
      <color rgb="FFFF0000"/>
      <name val="Calibri"/>
      <family val="2"/>
      <scheme val="minor"/>
    </font>
    <font>
      <sz val="11"/>
      <color rgb="FFFF0000"/>
      <name val="Calibri"/>
      <family val="2"/>
      <scheme val="minor"/>
    </font>
    <font>
      <i/>
      <sz val="11"/>
      <color theme="1"/>
      <name val="Calibri"/>
      <family val="2"/>
      <scheme val="minor"/>
    </font>
    <font>
      <b/>
      <sz val="10"/>
      <color rgb="FF00B050"/>
      <name val="Calibri"/>
      <family val="2"/>
      <scheme val="minor"/>
    </font>
    <font>
      <b/>
      <sz val="10"/>
      <color rgb="FFFF0000"/>
      <name val="Calibri"/>
      <family val="2"/>
      <scheme val="minor"/>
    </font>
    <font>
      <sz val="8.5"/>
      <name val="Verdana"/>
      <family val="2"/>
    </font>
    <font>
      <sz val="16"/>
      <name val="Verdana"/>
      <family val="2"/>
    </font>
    <font>
      <sz val="10"/>
      <name val="Verdana"/>
      <family val="2"/>
    </font>
    <font>
      <b/>
      <u val="singleAccounting"/>
      <sz val="14"/>
      <color theme="6" tint="-0.499984740745262"/>
      <name val="Calibri"/>
      <family val="2"/>
      <scheme val="minor"/>
    </font>
    <font>
      <b/>
      <u val="singleAccounting"/>
      <sz val="14"/>
      <color rgb="FFFF0000"/>
      <name val="Calibri"/>
      <family val="2"/>
      <scheme val="minor"/>
    </font>
    <font>
      <b/>
      <sz val="16"/>
      <color theme="1"/>
      <name val="Calibri"/>
      <family val="2"/>
      <scheme val="minor"/>
    </font>
    <font>
      <sz val="10"/>
      <color theme="1"/>
      <name val="Calibri"/>
      <family val="2"/>
      <scheme val="minor"/>
    </font>
    <font>
      <sz val="9.9"/>
      <color rgb="FF3F7137"/>
      <name val="Verdana"/>
      <family val="2"/>
    </font>
    <font>
      <sz val="8"/>
      <color rgb="FF3F7137"/>
      <name val="Verdana"/>
      <family val="2"/>
    </font>
    <font>
      <sz val="8"/>
      <color rgb="FF666666"/>
      <name val="Verdana"/>
      <family val="2"/>
    </font>
    <font>
      <sz val="8"/>
      <color rgb="FF000000"/>
      <name val="Verdana"/>
      <family val="2"/>
    </font>
    <font>
      <b/>
      <sz val="11"/>
      <color rgb="FF000000"/>
      <name val="Verdana"/>
      <family val="2"/>
    </font>
    <font>
      <b/>
      <sz val="8"/>
      <color rgb="FF000000"/>
      <name val="Verdana"/>
      <family val="2"/>
    </font>
    <font>
      <b/>
      <i/>
      <sz val="8"/>
      <color rgb="FF000000"/>
      <name val="Verdana"/>
      <family val="2"/>
    </font>
    <font>
      <i/>
      <sz val="8"/>
      <color rgb="FF000000"/>
      <name val="Verdana"/>
      <family val="2"/>
    </font>
    <font>
      <i/>
      <u/>
      <sz val="8"/>
      <color rgb="FF000000"/>
      <name val="Verdana"/>
      <family val="2"/>
    </font>
    <font>
      <b/>
      <sz val="13.2"/>
      <color rgb="FF668833"/>
      <name val="Verdana"/>
      <family val="2"/>
    </font>
    <font>
      <u/>
      <sz val="8"/>
      <color rgb="FF000000"/>
      <name val="Verdana"/>
      <family val="2"/>
    </font>
    <font>
      <b/>
      <u/>
      <sz val="8"/>
      <color rgb="FF000000"/>
      <name val="Verdana"/>
      <family val="2"/>
    </font>
    <font>
      <b/>
      <sz val="22"/>
      <color rgb="FF6B6B6B"/>
      <name val="Verdana"/>
      <family val="2"/>
    </font>
    <font>
      <sz val="8"/>
      <name val="Calibri"/>
      <family val="2"/>
      <scheme val="minor"/>
    </font>
    <font>
      <b/>
      <sz val="10"/>
      <name val="Verdana"/>
      <family val="2"/>
    </font>
    <font>
      <b/>
      <sz val="12"/>
      <name val="Verdana"/>
      <family val="2"/>
    </font>
    <font>
      <b/>
      <sz val="11"/>
      <color indexed="8"/>
      <name val="Arial"/>
      <family val="2"/>
    </font>
    <font>
      <sz val="11"/>
      <color indexed="8"/>
      <name val="Arial"/>
      <family val="2"/>
    </font>
    <font>
      <sz val="12"/>
      <color rgb="FF000000"/>
      <name val="Calibri"/>
      <family val="2"/>
      <scheme val="minor"/>
    </font>
    <font>
      <sz val="12"/>
      <color theme="1"/>
      <name val="Calibri"/>
      <family val="2"/>
      <scheme val="minor"/>
    </font>
    <font>
      <b/>
      <sz val="12"/>
      <color rgb="FF000000"/>
      <name val="Calibri"/>
      <family val="2"/>
      <scheme val="minor"/>
    </font>
    <font>
      <b/>
      <sz val="13.5"/>
      <color theme="1"/>
      <name val="Calibri"/>
      <family val="2"/>
      <scheme val="minor"/>
    </font>
    <font>
      <b/>
      <sz val="10"/>
      <name val="Calibri"/>
      <family val="2"/>
      <scheme val="minor"/>
    </font>
    <font>
      <b/>
      <sz val="11"/>
      <color theme="0"/>
      <name val="Calibri"/>
      <family val="2"/>
      <scheme val="minor"/>
    </font>
    <font>
      <sz val="8"/>
      <name val="Verdana"/>
      <family val="2"/>
    </font>
    <font>
      <b/>
      <i/>
      <sz val="14"/>
      <color theme="6" tint="-0.499984740745262"/>
      <name val="Calibri"/>
      <family val="2"/>
      <scheme val="minor"/>
    </font>
    <font>
      <b/>
      <i/>
      <sz val="14"/>
      <color rgb="FFFF0000"/>
      <name val="Calibri"/>
      <family val="2"/>
      <scheme val="minor"/>
    </font>
    <font>
      <b/>
      <i/>
      <sz val="14"/>
      <color theme="0"/>
      <name val="Calibri"/>
      <family val="2"/>
      <scheme val="minor"/>
    </font>
  </fonts>
  <fills count="47">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rgb="FF000000"/>
        <bgColor indexed="64"/>
      </patternFill>
    </fill>
    <fill>
      <patternFill patternType="solid">
        <fgColor rgb="FFCCCCCC"/>
        <bgColor indexed="64"/>
      </patternFill>
    </fill>
    <fill>
      <patternFill patternType="solid">
        <fgColor rgb="FFFFFFCC"/>
        <bgColor indexed="64"/>
      </patternFill>
    </fill>
    <fill>
      <patternFill patternType="solid">
        <fgColor rgb="FFFFFF0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FFC0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79998168889431442"/>
        <bgColor indexed="64"/>
      </patternFill>
    </fill>
    <fill>
      <patternFill patternType="solid">
        <fgColor theme="7" tint="0.79998168889431442"/>
        <bgColor indexed="64"/>
      </patternFill>
    </fill>
    <fill>
      <patternFill patternType="solid">
        <fgColor rgb="FFEDF1ED"/>
        <bgColor indexed="64"/>
      </patternFill>
    </fill>
    <fill>
      <patternFill patternType="solid">
        <fgColor theme="9" tint="0.79998168889431442"/>
        <bgColor indexed="64"/>
      </patternFill>
    </fill>
    <fill>
      <patternFill patternType="solid">
        <fgColor rgb="FFEEEEEE"/>
        <bgColor indexed="64"/>
      </patternFill>
    </fill>
    <fill>
      <patternFill patternType="solid">
        <fgColor theme="1" tint="0.34998626667073579"/>
        <bgColor indexed="64"/>
      </patternFill>
    </fill>
    <fill>
      <patternFill patternType="solid">
        <fgColor theme="0"/>
        <bgColor indexed="64"/>
      </patternFill>
    </fill>
    <fill>
      <patternFill patternType="solid">
        <fgColor theme="9" tint="0.59999389629810485"/>
        <bgColor indexed="46"/>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bottom style="medium">
        <color rgb="FFCCCCCC"/>
      </bottom>
      <diagonal/>
    </border>
    <border>
      <left/>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indexed="64"/>
      </left>
      <right style="thin">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s>
  <cellStyleXfs count="6">
    <xf numFmtId="0" fontId="0" fillId="0" borderId="0"/>
    <xf numFmtId="0" fontId="3" fillId="0" borderId="0" applyNumberFormat="0" applyFill="0" applyBorder="0" applyAlignment="0" applyProtection="0">
      <alignment vertical="top"/>
      <protection locked="0"/>
    </xf>
    <xf numFmtId="44"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25" fillId="0" borderId="0"/>
  </cellStyleXfs>
  <cellXfs count="796">
    <xf numFmtId="0" fontId="0" fillId="0" borderId="0" xfId="0"/>
    <xf numFmtId="0" fontId="0" fillId="0" borderId="0" xfId="0" applyAlignment="1">
      <alignment horizontal="left" indent="1"/>
    </xf>
    <xf numFmtId="0" fontId="1" fillId="0" borderId="0" xfId="0" applyFont="1"/>
    <xf numFmtId="0" fontId="2" fillId="0" borderId="0" xfId="0" applyFont="1"/>
    <xf numFmtId="0" fontId="1" fillId="0" borderId="0" xfId="0" applyFont="1" applyAlignment="1">
      <alignment wrapText="1"/>
    </xf>
    <xf numFmtId="0" fontId="0" fillId="0" borderId="0" xfId="0" applyFill="1"/>
    <xf numFmtId="0" fontId="1" fillId="0" borderId="0" xfId="0" applyFont="1" applyFill="1"/>
    <xf numFmtId="0" fontId="4" fillId="0" borderId="0" xfId="0" applyFont="1" applyFill="1"/>
    <xf numFmtId="0" fontId="1" fillId="3" borderId="1" xfId="0" applyFont="1" applyFill="1" applyBorder="1" applyAlignment="1">
      <alignment wrapText="1"/>
    </xf>
    <xf numFmtId="0" fontId="5" fillId="4" borderId="1" xfId="0" applyFont="1" applyFill="1" applyBorder="1"/>
    <xf numFmtId="1" fontId="0" fillId="0" borderId="0" xfId="0" applyNumberFormat="1"/>
    <xf numFmtId="0" fontId="0" fillId="0" borderId="1" xfId="0" applyBorder="1"/>
    <xf numFmtId="0" fontId="7" fillId="0" borderId="0" xfId="0" applyFont="1" applyAlignment="1">
      <alignment horizontal="center" wrapText="1"/>
    </xf>
    <xf numFmtId="0" fontId="7" fillId="6" borderId="0" xfId="0" applyFont="1" applyFill="1" applyAlignment="1">
      <alignment horizontal="center" wrapText="1"/>
    </xf>
    <xf numFmtId="0" fontId="0" fillId="0" borderId="0" xfId="0" applyAlignment="1">
      <alignment horizontal="center"/>
    </xf>
    <xf numFmtId="166" fontId="0" fillId="0" borderId="1" xfId="2" applyNumberFormat="1" applyFont="1" applyBorder="1"/>
    <xf numFmtId="0" fontId="1" fillId="8" borderId="1" xfId="0" applyFont="1" applyFill="1" applyBorder="1" applyAlignment="1">
      <alignment horizontal="center"/>
    </xf>
    <xf numFmtId="0" fontId="1" fillId="0" borderId="1" xfId="0" applyFont="1" applyBorder="1"/>
    <xf numFmtId="0" fontId="3" fillId="0" borderId="0" xfId="1" applyAlignment="1" applyProtection="1">
      <alignment wrapText="1"/>
    </xf>
    <xf numFmtId="0" fontId="12" fillId="3" borderId="1" xfId="0" applyFont="1" applyFill="1" applyBorder="1"/>
    <xf numFmtId="0" fontId="12" fillId="3" borderId="1" xfId="0" applyFont="1" applyFill="1" applyBorder="1" applyAlignment="1">
      <alignment wrapText="1"/>
    </xf>
    <xf numFmtId="0" fontId="12" fillId="0" borderId="0" xfId="0" applyFont="1" applyFill="1"/>
    <xf numFmtId="0" fontId="1" fillId="12" borderId="1" xfId="0" applyFont="1" applyFill="1" applyBorder="1" applyAlignment="1">
      <alignment wrapText="1"/>
    </xf>
    <xf numFmtId="0" fontId="1" fillId="12" borderId="1" xfId="0" applyFont="1" applyFill="1" applyBorder="1"/>
    <xf numFmtId="0" fontId="1" fillId="12" borderId="3" xfId="0" applyFont="1" applyFill="1" applyBorder="1" applyAlignment="1">
      <alignment vertical="top" wrapText="1"/>
    </xf>
    <xf numFmtId="0" fontId="13" fillId="12" borderId="1" xfId="0" applyFont="1" applyFill="1" applyBorder="1" applyAlignment="1">
      <alignment wrapText="1"/>
    </xf>
    <xf numFmtId="0" fontId="13" fillId="12" borderId="1" xfId="0" applyFont="1" applyFill="1" applyBorder="1"/>
    <xf numFmtId="0" fontId="1" fillId="0" borderId="0" xfId="0" applyFont="1" applyFill="1" applyBorder="1"/>
    <xf numFmtId="0" fontId="1" fillId="0" borderId="5" xfId="0" applyFont="1" applyFill="1" applyBorder="1"/>
    <xf numFmtId="0" fontId="5" fillId="4" borderId="3" xfId="0" applyFont="1" applyFill="1" applyBorder="1"/>
    <xf numFmtId="14" fontId="0" fillId="0" borderId="0" xfId="0" applyNumberFormat="1"/>
    <xf numFmtId="0" fontId="13" fillId="0" borderId="0" xfId="0" applyFont="1" applyFill="1"/>
    <xf numFmtId="0" fontId="3" fillId="0" borderId="0" xfId="1" applyAlignment="1" applyProtection="1"/>
    <xf numFmtId="0" fontId="0" fillId="8" borderId="1" xfId="0" applyFill="1" applyBorder="1"/>
    <xf numFmtId="0" fontId="0" fillId="0" borderId="1" xfId="0" applyFill="1" applyBorder="1"/>
    <xf numFmtId="0" fontId="16" fillId="0" borderId="1" xfId="0" applyFont="1" applyBorder="1" applyAlignment="1">
      <alignment horizontal="center"/>
    </xf>
    <xf numFmtId="0" fontId="0" fillId="8" borderId="1" xfId="0" applyFill="1" applyBorder="1" applyAlignment="1">
      <alignment horizontal="right"/>
    </xf>
    <xf numFmtId="0" fontId="0" fillId="0" borderId="1" xfId="0" applyBorder="1" applyAlignment="1">
      <alignment wrapText="1"/>
    </xf>
    <xf numFmtId="10" fontId="1" fillId="0" borderId="0" xfId="0" applyNumberFormat="1" applyFont="1"/>
    <xf numFmtId="0" fontId="17" fillId="0" borderId="0" xfId="0" applyFont="1"/>
    <xf numFmtId="0" fontId="18" fillId="0" borderId="0" xfId="0" applyFont="1"/>
    <xf numFmtId="0" fontId="14" fillId="0" borderId="0" xfId="0" applyFont="1" applyAlignment="1"/>
    <xf numFmtId="9" fontId="1" fillId="0" borderId="1" xfId="0" applyNumberFormat="1" applyFont="1" applyBorder="1"/>
    <xf numFmtId="9" fontId="1" fillId="0" borderId="1" xfId="3" applyNumberFormat="1" applyFont="1" applyBorder="1"/>
    <xf numFmtId="165" fontId="1" fillId="0" borderId="1" xfId="0" applyNumberFormat="1" applyFont="1" applyBorder="1"/>
    <xf numFmtId="9" fontId="1" fillId="8" borderId="1" xfId="0" applyNumberFormat="1" applyFont="1" applyFill="1" applyBorder="1"/>
    <xf numFmtId="165" fontId="1" fillId="8" borderId="1" xfId="0" applyNumberFormat="1" applyFont="1" applyFill="1" applyBorder="1"/>
    <xf numFmtId="9" fontId="1" fillId="8" borderId="1" xfId="3" applyNumberFormat="1" applyFont="1" applyFill="1" applyBorder="1"/>
    <xf numFmtId="0" fontId="0" fillId="8" borderId="0" xfId="0" applyFill="1"/>
    <xf numFmtId="2" fontId="0" fillId="0" borderId="1" xfId="0" applyNumberFormat="1" applyBorder="1"/>
    <xf numFmtId="0" fontId="0" fillId="0" borderId="0" xfId="0" applyBorder="1"/>
    <xf numFmtId="168" fontId="0" fillId="0" borderId="1" xfId="3" applyNumberFormat="1" applyFont="1" applyBorder="1"/>
    <xf numFmtId="0" fontId="1" fillId="10" borderId="4" xfId="0" applyFont="1" applyFill="1" applyBorder="1" applyAlignment="1">
      <alignment wrapText="1"/>
    </xf>
    <xf numFmtId="0" fontId="3" fillId="0" borderId="0" xfId="1" applyAlignment="1" applyProtection="1">
      <alignment horizontal="left" indent="1"/>
    </xf>
    <xf numFmtId="168" fontId="0" fillId="0" borderId="1" xfId="0" applyNumberFormat="1" applyBorder="1"/>
    <xf numFmtId="0" fontId="22" fillId="0" borderId="1" xfId="0" applyFont="1" applyBorder="1" applyAlignment="1">
      <alignment horizontal="center"/>
    </xf>
    <xf numFmtId="0" fontId="22" fillId="8" borderId="1" xfId="0" applyFont="1" applyFill="1" applyBorder="1" applyAlignment="1">
      <alignment horizontal="center"/>
    </xf>
    <xf numFmtId="9" fontId="0" fillId="8" borderId="1" xfId="0" applyNumberFormat="1" applyFill="1" applyBorder="1"/>
    <xf numFmtId="168" fontId="0" fillId="8" borderId="1" xfId="0" applyNumberFormat="1" applyFill="1" applyBorder="1"/>
    <xf numFmtId="0" fontId="0" fillId="0" borderId="0" xfId="0" applyNumberFormat="1"/>
    <xf numFmtId="2" fontId="0" fillId="0" borderId="0" xfId="0" applyNumberFormat="1" applyAlignment="1">
      <alignment horizontal="center"/>
    </xf>
    <xf numFmtId="168" fontId="0" fillId="0" borderId="0" xfId="0" applyNumberFormat="1"/>
    <xf numFmtId="169" fontId="0" fillId="0" borderId="0" xfId="4" applyNumberFormat="1" applyFont="1"/>
    <xf numFmtId="2" fontId="0" fillId="0" borderId="0" xfId="0" applyNumberFormat="1"/>
    <xf numFmtId="0" fontId="4" fillId="16" borderId="0" xfId="0" applyFont="1" applyFill="1" applyAlignment="1">
      <alignment horizontal="center"/>
    </xf>
    <xf numFmtId="168" fontId="0" fillId="0" borderId="1" xfId="0" applyNumberFormat="1" applyFill="1" applyBorder="1"/>
    <xf numFmtId="0" fontId="4" fillId="16" borderId="0" xfId="0" applyFont="1" applyFill="1" applyAlignment="1">
      <alignment horizontal="center"/>
    </xf>
    <xf numFmtId="168" fontId="0" fillId="0" borderId="1" xfId="0" applyNumberFormat="1" applyBorder="1" applyAlignment="1">
      <alignment horizontal="center"/>
    </xf>
    <xf numFmtId="0" fontId="4" fillId="16" borderId="9" xfId="0" applyFont="1" applyFill="1" applyBorder="1" applyAlignment="1">
      <alignment horizontal="center"/>
    </xf>
    <xf numFmtId="0" fontId="0" fillId="0" borderId="10" xfId="0" applyBorder="1"/>
    <xf numFmtId="0" fontId="0" fillId="0" borderId="13" xfId="0" applyBorder="1"/>
    <xf numFmtId="0" fontId="0" fillId="0" borderId="16" xfId="0" applyBorder="1"/>
    <xf numFmtId="0" fontId="0" fillId="0" borderId="20" xfId="0" applyBorder="1"/>
    <xf numFmtId="168" fontId="0" fillId="0" borderId="11" xfId="0" applyNumberFormat="1" applyBorder="1"/>
    <xf numFmtId="168" fontId="0" fillId="0" borderId="9" xfId="0" applyNumberFormat="1" applyBorder="1" applyAlignment="1">
      <alignment horizontal="center"/>
    </xf>
    <xf numFmtId="168" fontId="0" fillId="0" borderId="11" xfId="0" applyNumberFormat="1" applyFill="1" applyBorder="1"/>
    <xf numFmtId="168" fontId="0" fillId="0" borderId="9" xfId="0" applyNumberFormat="1" applyBorder="1"/>
    <xf numFmtId="0" fontId="0" fillId="0" borderId="26" xfId="0" applyBorder="1"/>
    <xf numFmtId="168" fontId="0" fillId="0" borderId="9" xfId="0" applyNumberFormat="1" applyFill="1" applyBorder="1"/>
    <xf numFmtId="168" fontId="0" fillId="0" borderId="11" xfId="0" applyNumberFormat="1" applyBorder="1" applyAlignment="1">
      <alignment horizontal="center"/>
    </xf>
    <xf numFmtId="168" fontId="0" fillId="0" borderId="12" xfId="0" applyNumberFormat="1" applyBorder="1"/>
    <xf numFmtId="168" fontId="0" fillId="0" borderId="21" xfId="0" applyNumberFormat="1" applyBorder="1"/>
    <xf numFmtId="168" fontId="0" fillId="0" borderId="14" xfId="0" applyNumberFormat="1" applyBorder="1"/>
    <xf numFmtId="168" fontId="0" fillId="0" borderId="27" xfId="0" applyNumberFormat="1" applyBorder="1"/>
    <xf numFmtId="168" fontId="0" fillId="0" borderId="17" xfId="0" applyNumberFormat="1" applyBorder="1"/>
    <xf numFmtId="0" fontId="24" fillId="0" borderId="0" xfId="0" applyFont="1"/>
    <xf numFmtId="0" fontId="25" fillId="0" borderId="31" xfId="5"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left"/>
    </xf>
    <xf numFmtId="0" fontId="22" fillId="15" borderId="1" xfId="0" applyFont="1" applyFill="1" applyBorder="1" applyAlignment="1">
      <alignment horizontal="center"/>
    </xf>
    <xf numFmtId="10" fontId="0" fillId="15" borderId="1" xfId="0" applyNumberFormat="1" applyFill="1" applyBorder="1"/>
    <xf numFmtId="168" fontId="0" fillId="15" borderId="1" xfId="0" applyNumberFormat="1" applyFill="1" applyBorder="1"/>
    <xf numFmtId="0" fontId="22" fillId="27" borderId="1" xfId="0" applyFont="1" applyFill="1" applyBorder="1" applyAlignment="1">
      <alignment horizontal="center"/>
    </xf>
    <xf numFmtId="10" fontId="0" fillId="27" borderId="1" xfId="0" applyNumberFormat="1" applyFill="1" applyBorder="1"/>
    <xf numFmtId="168" fontId="0" fillId="27" borderId="1" xfId="0" applyNumberFormat="1" applyFill="1" applyBorder="1"/>
    <xf numFmtId="0" fontId="26" fillId="0" borderId="0" xfId="0" applyFont="1"/>
    <xf numFmtId="0" fontId="27" fillId="0" borderId="0" xfId="0" applyFont="1"/>
    <xf numFmtId="0" fontId="28" fillId="0" borderId="0" xfId="0" applyFont="1"/>
    <xf numFmtId="0" fontId="29" fillId="0" borderId="0" xfId="0" applyFont="1"/>
    <xf numFmtId="0" fontId="29" fillId="0" borderId="0" xfId="0" applyFont="1" applyAlignment="1">
      <alignment horizontal="left" indent="2"/>
    </xf>
    <xf numFmtId="0" fontId="30" fillId="19" borderId="0" xfId="0" applyFont="1" applyFill="1" applyAlignment="1">
      <alignment horizontal="center" wrapText="1"/>
    </xf>
    <xf numFmtId="0" fontId="27" fillId="6" borderId="0" xfId="0" applyFont="1" applyFill="1" applyAlignment="1">
      <alignment horizontal="center" wrapText="1"/>
    </xf>
    <xf numFmtId="0" fontId="27" fillId="21" borderId="0" xfId="0" applyFont="1" applyFill="1" applyAlignment="1">
      <alignment horizontal="center" wrapText="1"/>
    </xf>
    <xf numFmtId="0" fontId="27" fillId="22" borderId="0" xfId="0" applyFont="1" applyFill="1" applyAlignment="1">
      <alignment horizontal="center" wrapText="1"/>
    </xf>
    <xf numFmtId="0" fontId="27" fillId="0" borderId="0" xfId="0" applyFont="1" applyAlignment="1">
      <alignment horizontal="center" wrapText="1"/>
    </xf>
    <xf numFmtId="0" fontId="29" fillId="21" borderId="0" xfId="0" applyFont="1" applyFill="1" applyAlignment="1">
      <alignment wrapText="1"/>
    </xf>
    <xf numFmtId="0" fontId="29" fillId="22" borderId="0" xfId="0" applyFont="1" applyFill="1" applyAlignment="1">
      <alignment wrapText="1"/>
    </xf>
    <xf numFmtId="0" fontId="27" fillId="20" borderId="0" xfId="0" applyFont="1" applyFill="1" applyAlignment="1">
      <alignment horizontal="center" wrapText="1"/>
    </xf>
    <xf numFmtId="0" fontId="0" fillId="0" borderId="1" xfId="0" applyBorder="1" applyAlignment="1">
      <alignment horizontal="center"/>
    </xf>
    <xf numFmtId="0" fontId="0" fillId="0" borderId="0" xfId="0" applyAlignment="1">
      <alignment horizontal="center"/>
    </xf>
    <xf numFmtId="2" fontId="0" fillId="0" borderId="1" xfId="0" applyNumberFormat="1" applyBorder="1" applyAlignment="1">
      <alignment horizontal="center"/>
    </xf>
    <xf numFmtId="171" fontId="0" fillId="0" borderId="1" xfId="0" applyNumberFormat="1" applyBorder="1" applyAlignment="1">
      <alignment horizontal="center"/>
    </xf>
    <xf numFmtId="0" fontId="8" fillId="0" borderId="0" xfId="0" applyFont="1" applyAlignment="1">
      <alignment horizontal="center" wrapText="1"/>
    </xf>
    <xf numFmtId="0" fontId="8" fillId="6" borderId="0" xfId="0" applyFont="1" applyFill="1" applyAlignment="1">
      <alignment horizontal="center" wrapText="1"/>
    </xf>
    <xf numFmtId="0" fontId="0" fillId="0" borderId="0" xfId="0" applyFill="1" applyBorder="1" applyAlignment="1">
      <alignment wrapText="1"/>
    </xf>
    <xf numFmtId="0" fontId="1" fillId="8" borderId="0" xfId="0" applyFont="1" applyFill="1"/>
    <xf numFmtId="0" fontId="1" fillId="0" borderId="0" xfId="0" applyFont="1" applyAlignment="1">
      <alignment horizontal="center"/>
    </xf>
    <xf numFmtId="0" fontId="0" fillId="28" borderId="0" xfId="0" applyFill="1"/>
    <xf numFmtId="0" fontId="0" fillId="18" borderId="0" xfId="0" applyFill="1" applyBorder="1" applyAlignment="1">
      <alignment horizontal="right" wrapText="1"/>
    </xf>
    <xf numFmtId="164" fontId="0" fillId="18" borderId="0" xfId="0" applyNumberFormat="1" applyFill="1"/>
    <xf numFmtId="0" fontId="1" fillId="0" borderId="0" xfId="0" applyFont="1" applyFill="1" applyAlignment="1">
      <alignment horizontal="center"/>
    </xf>
    <xf numFmtId="0" fontId="0" fillId="0" borderId="0" xfId="0" applyFill="1" applyBorder="1"/>
    <xf numFmtId="0" fontId="0" fillId="16" borderId="0" xfId="0" applyFill="1" applyAlignment="1">
      <alignment horizontal="right"/>
    </xf>
    <xf numFmtId="1" fontId="0" fillId="16" borderId="0" xfId="0" applyNumberFormat="1" applyFill="1"/>
    <xf numFmtId="0" fontId="0" fillId="15" borderId="0" xfId="0" applyFill="1" applyBorder="1" applyAlignment="1">
      <alignment horizontal="right" wrapText="1"/>
    </xf>
    <xf numFmtId="164" fontId="0" fillId="15" borderId="0" xfId="0" applyNumberFormat="1" applyFill="1" applyBorder="1"/>
    <xf numFmtId="0" fontId="1" fillId="13" borderId="0" xfId="0" applyFont="1" applyFill="1" applyAlignment="1">
      <alignment horizontal="center"/>
    </xf>
    <xf numFmtId="168" fontId="0" fillId="0" borderId="0" xfId="3" applyNumberFormat="1" applyFont="1"/>
    <xf numFmtId="0" fontId="9" fillId="5" borderId="0" xfId="0" applyFont="1" applyFill="1" applyAlignment="1">
      <alignment horizontal="center" wrapText="1"/>
    </xf>
    <xf numFmtId="0" fontId="8" fillId="7" borderId="0" xfId="0" applyFont="1" applyFill="1" applyAlignment="1">
      <alignment horizontal="center" wrapText="1"/>
    </xf>
    <xf numFmtId="0" fontId="18" fillId="16" borderId="0" xfId="0" applyFont="1" applyFill="1" applyAlignment="1">
      <alignment horizontal="right"/>
    </xf>
    <xf numFmtId="1" fontId="0" fillId="28" borderId="0" xfId="0" applyNumberFormat="1" applyFill="1"/>
    <xf numFmtId="0" fontId="0" fillId="0" borderId="6" xfId="0" applyBorder="1" applyAlignment="1">
      <alignment wrapText="1"/>
    </xf>
    <xf numFmtId="0" fontId="7" fillId="0" borderId="1" xfId="0" applyFont="1" applyBorder="1" applyAlignment="1">
      <alignment horizontal="center" wrapText="1"/>
    </xf>
    <xf numFmtId="0" fontId="7" fillId="6" borderId="1" xfId="0" applyFont="1" applyFill="1" applyBorder="1" applyAlignment="1">
      <alignment horizontal="center" wrapText="1"/>
    </xf>
    <xf numFmtId="0" fontId="7" fillId="0" borderId="4" xfId="0" applyFont="1" applyBorder="1" applyAlignment="1">
      <alignment horizontal="center" wrapText="1"/>
    </xf>
    <xf numFmtId="0" fontId="7" fillId="6" borderId="4" xfId="0" applyFont="1" applyFill="1" applyBorder="1" applyAlignment="1">
      <alignment horizontal="center" wrapText="1"/>
    </xf>
    <xf numFmtId="168" fontId="0" fillId="25" borderId="1" xfId="3" applyNumberFormat="1" applyFont="1" applyFill="1" applyBorder="1"/>
    <xf numFmtId="168" fontId="0" fillId="8" borderId="0" xfId="3" applyNumberFormat="1" applyFont="1" applyFill="1"/>
    <xf numFmtId="167" fontId="0" fillId="8" borderId="0" xfId="0" applyNumberFormat="1" applyFill="1" applyBorder="1" applyAlignment="1">
      <alignment wrapText="1"/>
    </xf>
    <xf numFmtId="167" fontId="0" fillId="8" borderId="0" xfId="0" applyNumberFormat="1" applyFill="1"/>
    <xf numFmtId="0" fontId="0" fillId="0" borderId="0" xfId="0" applyAlignment="1">
      <alignment wrapText="1"/>
    </xf>
    <xf numFmtId="0" fontId="0" fillId="0" borderId="0" xfId="0" applyAlignment="1">
      <alignment horizontal="left" wrapText="1"/>
    </xf>
    <xf numFmtId="168" fontId="0" fillId="25" borderId="3" xfId="3" applyNumberFormat="1" applyFont="1" applyFill="1" applyBorder="1"/>
    <xf numFmtId="1" fontId="0" fillId="29" borderId="33" xfId="0" applyNumberFormat="1" applyFill="1" applyBorder="1"/>
    <xf numFmtId="1" fontId="0" fillId="29" borderId="34" xfId="0" applyNumberFormat="1" applyFill="1" applyBorder="1"/>
    <xf numFmtId="0" fontId="1" fillId="10" borderId="1" xfId="0" applyFont="1" applyFill="1" applyBorder="1" applyAlignment="1">
      <alignment horizontal="center" wrapText="1"/>
    </xf>
    <xf numFmtId="0" fontId="1" fillId="0" borderId="5" xfId="0" applyFont="1" applyFill="1" applyBorder="1" applyAlignment="1">
      <alignment horizontal="right"/>
    </xf>
    <xf numFmtId="0" fontId="0" fillId="0" borderId="0" xfId="0" applyAlignment="1">
      <alignment wrapText="1"/>
    </xf>
    <xf numFmtId="9" fontId="1" fillId="8" borderId="0" xfId="0" applyNumberFormat="1" applyFont="1" applyFill="1" applyAlignment="1">
      <alignment wrapText="1"/>
    </xf>
    <xf numFmtId="9" fontId="1" fillId="8" borderId="0" xfId="0" applyNumberFormat="1" applyFont="1" applyFill="1" applyAlignment="1">
      <alignment horizontal="right" wrapText="1"/>
    </xf>
    <xf numFmtId="0" fontId="1" fillId="8" borderId="0" xfId="0" applyFont="1" applyFill="1" applyAlignment="1">
      <alignment wrapText="1"/>
    </xf>
    <xf numFmtId="9" fontId="4" fillId="8" borderId="0" xfId="0" applyNumberFormat="1" applyFont="1" applyFill="1" applyAlignment="1">
      <alignment wrapText="1"/>
    </xf>
    <xf numFmtId="0" fontId="4" fillId="0" borderId="0" xfId="0" applyFont="1" applyAlignment="1">
      <alignment wrapText="1"/>
    </xf>
    <xf numFmtId="0" fontId="2" fillId="8" borderId="1" xfId="0" applyFont="1" applyFill="1" applyBorder="1"/>
    <xf numFmtId="167" fontId="23" fillId="8" borderId="35" xfId="0" applyNumberFormat="1" applyFont="1" applyFill="1" applyBorder="1"/>
    <xf numFmtId="0" fontId="0" fillId="0" borderId="0" xfId="0" applyFont="1"/>
    <xf numFmtId="0" fontId="1" fillId="11" borderId="1" xfId="0" applyFont="1" applyFill="1" applyBorder="1" applyAlignment="1">
      <alignment horizontal="center" wrapText="1"/>
    </xf>
    <xf numFmtId="10" fontId="0" fillId="0" borderId="0" xfId="0" applyNumberFormat="1"/>
    <xf numFmtId="1" fontId="1" fillId="0" borderId="0" xfId="0" applyNumberFormat="1" applyFont="1"/>
    <xf numFmtId="3" fontId="0" fillId="0" borderId="0" xfId="0" applyNumberFormat="1" applyAlignment="1">
      <alignment wrapText="1"/>
    </xf>
    <xf numFmtId="0" fontId="1" fillId="0" borderId="1" xfId="0" applyFont="1" applyBorder="1" applyAlignment="1">
      <alignment wrapText="1"/>
    </xf>
    <xf numFmtId="168" fontId="19" fillId="8" borderId="1" xfId="3" applyNumberFormat="1" applyFont="1" applyFill="1" applyBorder="1"/>
    <xf numFmtId="168" fontId="15" fillId="8" borderId="1" xfId="3" applyNumberFormat="1" applyFont="1" applyFill="1" applyBorder="1"/>
    <xf numFmtId="0" fontId="1" fillId="15" borderId="1" xfId="0" applyFont="1" applyFill="1" applyBorder="1" applyAlignment="1">
      <alignment horizontal="center" wrapText="1"/>
    </xf>
    <xf numFmtId="0" fontId="1" fillId="15" borderId="1" xfId="0" applyFont="1" applyFill="1" applyBorder="1" applyAlignment="1">
      <alignment horizontal="right"/>
    </xf>
    <xf numFmtId="166" fontId="34" fillId="15" borderId="1" xfId="2" applyNumberFormat="1" applyFont="1" applyFill="1" applyBorder="1" applyAlignment="1">
      <alignment horizontal="center" wrapText="1"/>
    </xf>
    <xf numFmtId="0" fontId="32" fillId="30" borderId="1" xfId="0" applyFont="1" applyFill="1" applyBorder="1" applyAlignment="1">
      <alignment horizontal="right"/>
    </xf>
    <xf numFmtId="0" fontId="32" fillId="30" borderId="1" xfId="0" applyFont="1" applyFill="1" applyBorder="1" applyAlignment="1">
      <alignment horizontal="center" wrapText="1"/>
    </xf>
    <xf numFmtId="166" fontId="35" fillId="30" borderId="1" xfId="0" applyNumberFormat="1" applyFont="1" applyFill="1" applyBorder="1" applyAlignment="1">
      <alignment horizontal="center" wrapText="1"/>
    </xf>
    <xf numFmtId="0" fontId="0" fillId="0" borderId="0" xfId="0" applyAlignment="1">
      <alignment wrapText="1"/>
    </xf>
    <xf numFmtId="9" fontId="1" fillId="0" borderId="0" xfId="0" applyNumberFormat="1" applyFont="1" applyAlignment="1">
      <alignment wrapText="1"/>
    </xf>
    <xf numFmtId="164" fontId="1" fillId="15" borderId="1" xfId="0" applyNumberFormat="1" applyFont="1" applyFill="1" applyBorder="1" applyAlignment="1">
      <alignment horizontal="center" wrapText="1"/>
    </xf>
    <xf numFmtId="164" fontId="32" fillId="30" borderId="1" xfId="0" applyNumberFormat="1" applyFont="1" applyFill="1" applyBorder="1" applyAlignment="1">
      <alignment horizontal="center" wrapText="1"/>
    </xf>
    <xf numFmtId="0" fontId="1" fillId="0" borderId="0" xfId="0" applyFont="1" applyAlignment="1">
      <alignment horizontal="left" indent="1"/>
    </xf>
    <xf numFmtId="0" fontId="0" fillId="0" borderId="6" xfId="0" applyBorder="1"/>
    <xf numFmtId="0" fontId="21" fillId="0" borderId="0" xfId="0" applyFont="1" applyFill="1"/>
    <xf numFmtId="0" fontId="21" fillId="0" borderId="0" xfId="0" applyFont="1"/>
    <xf numFmtId="14" fontId="21" fillId="0" borderId="0" xfId="0" applyNumberFormat="1" applyFont="1"/>
    <xf numFmtId="14" fontId="21" fillId="0" borderId="0" xfId="0" applyNumberFormat="1" applyFont="1" applyAlignment="1">
      <alignment horizontal="center"/>
    </xf>
    <xf numFmtId="0" fontId="21" fillId="0" borderId="0" xfId="0" applyFont="1" applyAlignment="1">
      <alignment wrapText="1"/>
    </xf>
    <xf numFmtId="14" fontId="21" fillId="0" borderId="0" xfId="0" applyNumberFormat="1" applyFont="1" applyAlignment="1">
      <alignment wrapText="1"/>
    </xf>
    <xf numFmtId="14" fontId="21" fillId="0" borderId="0" xfId="0" applyNumberFormat="1" applyFont="1" applyAlignment="1">
      <alignment horizontal="center" wrapText="1"/>
    </xf>
    <xf numFmtId="0" fontId="0" fillId="0" borderId="0" xfId="0" applyAlignment="1">
      <alignment wrapText="1"/>
    </xf>
    <xf numFmtId="2" fontId="36" fillId="0" borderId="1" xfId="0" applyNumberFormat="1" applyFont="1" applyBorder="1"/>
    <xf numFmtId="0" fontId="0" fillId="2" borderId="1" xfId="0" applyFill="1" applyBorder="1"/>
    <xf numFmtId="0" fontId="37" fillId="0" borderId="0" xfId="0" applyFont="1"/>
    <xf numFmtId="166" fontId="1" fillId="15" borderId="1" xfId="2" applyNumberFormat="1" applyFont="1" applyFill="1" applyBorder="1" applyAlignment="1">
      <alignment horizontal="center" wrapText="1"/>
    </xf>
    <xf numFmtId="166" fontId="32" fillId="30" borderId="1" xfId="2" applyNumberFormat="1" applyFont="1" applyFill="1" applyBorder="1" applyAlignment="1">
      <alignment horizontal="center" wrapText="1"/>
    </xf>
    <xf numFmtId="0" fontId="0" fillId="0" borderId="1" xfId="0" applyBorder="1" applyAlignment="1">
      <alignment horizontal="left"/>
    </xf>
    <xf numFmtId="164" fontId="1" fillId="0" borderId="0" xfId="0" applyNumberFormat="1" applyFont="1"/>
    <xf numFmtId="0" fontId="0" fillId="0" borderId="3" xfId="0" applyBorder="1"/>
    <xf numFmtId="164" fontId="38" fillId="0" borderId="0" xfId="0" applyNumberFormat="1" applyFont="1" applyAlignment="1">
      <alignment wrapText="1"/>
    </xf>
    <xf numFmtId="164" fontId="39" fillId="0" borderId="0" xfId="0" applyNumberFormat="1" applyFont="1" applyAlignment="1">
      <alignment wrapText="1"/>
    </xf>
    <xf numFmtId="0" fontId="1" fillId="0" borderId="40" xfId="0" applyFont="1" applyBorder="1" applyAlignment="1">
      <alignment wrapText="1"/>
    </xf>
    <xf numFmtId="167" fontId="5" fillId="4" borderId="1" xfId="0" applyNumberFormat="1" applyFont="1" applyFill="1" applyBorder="1"/>
    <xf numFmtId="167" fontId="33" fillId="11" borderId="1" xfId="0" applyNumberFormat="1" applyFont="1" applyFill="1" applyBorder="1"/>
    <xf numFmtId="167" fontId="1" fillId="2" borderId="1" xfId="0" applyNumberFormat="1" applyFont="1" applyFill="1" applyBorder="1"/>
    <xf numFmtId="167" fontId="0" fillId="3" borderId="1" xfId="0" applyNumberFormat="1" applyFill="1" applyBorder="1"/>
    <xf numFmtId="167" fontId="0" fillId="11" borderId="1" xfId="0" applyNumberFormat="1" applyFill="1" applyBorder="1"/>
    <xf numFmtId="167" fontId="0" fillId="3" borderId="1" xfId="0" applyNumberFormat="1" applyFill="1" applyBorder="1" applyAlignment="1">
      <alignment horizontal="center"/>
    </xf>
    <xf numFmtId="167" fontId="12" fillId="2" borderId="1" xfId="0" applyNumberFormat="1" applyFont="1" applyFill="1" applyBorder="1"/>
    <xf numFmtId="167" fontId="12" fillId="3" borderId="1" xfId="0" applyNumberFormat="1" applyFont="1" applyFill="1" applyBorder="1"/>
    <xf numFmtId="167" fontId="12" fillId="11" borderId="1" xfId="0" applyNumberFormat="1" applyFont="1" applyFill="1" applyBorder="1"/>
    <xf numFmtId="167" fontId="1" fillId="18" borderId="1" xfId="0" applyNumberFormat="1" applyFont="1" applyFill="1" applyBorder="1"/>
    <xf numFmtId="167" fontId="0" fillId="12" borderId="1" xfId="0" applyNumberFormat="1" applyFill="1" applyBorder="1"/>
    <xf numFmtId="167" fontId="0" fillId="12" borderId="1" xfId="0" applyNumberFormat="1" applyFill="1" applyBorder="1" applyAlignment="1">
      <alignment horizontal="center"/>
    </xf>
    <xf numFmtId="167" fontId="13" fillId="18" borderId="1" xfId="0" applyNumberFormat="1" applyFont="1" applyFill="1" applyBorder="1"/>
    <xf numFmtId="167" fontId="13" fillId="12" borderId="1" xfId="0" applyNumberFormat="1" applyFont="1" applyFill="1" applyBorder="1"/>
    <xf numFmtId="167" fontId="13" fillId="11" borderId="1" xfId="0" applyNumberFormat="1" applyFont="1" applyFill="1" applyBorder="1"/>
    <xf numFmtId="167" fontId="1" fillId="0" borderId="0" xfId="0" applyNumberFormat="1" applyFont="1"/>
    <xf numFmtId="0" fontId="0" fillId="0" borderId="0" xfId="0" applyAlignment="1">
      <alignment wrapText="1"/>
    </xf>
    <xf numFmtId="0" fontId="0" fillId="0" borderId="0" xfId="0" applyAlignment="1">
      <alignment horizontal="center"/>
    </xf>
    <xf numFmtId="1" fontId="1" fillId="10" borderId="1" xfId="0" applyNumberFormat="1" applyFont="1" applyFill="1" applyBorder="1" applyAlignment="1">
      <alignment horizontal="center" wrapText="1"/>
    </xf>
    <xf numFmtId="0" fontId="0" fillId="32" borderId="0" xfId="0" applyFill="1"/>
    <xf numFmtId="167" fontId="43" fillId="2" borderId="1" xfId="0" applyNumberFormat="1" applyFont="1" applyFill="1" applyBorder="1"/>
    <xf numFmtId="167" fontId="44" fillId="18" borderId="1" xfId="0" applyNumberFormat="1" applyFont="1" applyFill="1" applyBorder="1"/>
    <xf numFmtId="168" fontId="1" fillId="2" borderId="1" xfId="3" applyNumberFormat="1" applyFont="1" applyFill="1" applyBorder="1"/>
    <xf numFmtId="168" fontId="1" fillId="18" borderId="1" xfId="3" applyNumberFormat="1" applyFont="1" applyFill="1" applyBorder="1"/>
    <xf numFmtId="168" fontId="13" fillId="0" borderId="1" xfId="3" applyNumberFormat="1" applyFont="1" applyFill="1" applyBorder="1"/>
    <xf numFmtId="168" fontId="12" fillId="0" borderId="1" xfId="0" applyNumberFormat="1" applyFont="1" applyFill="1" applyBorder="1"/>
    <xf numFmtId="167" fontId="38" fillId="2" borderId="0" xfId="0" applyNumberFormat="1" applyFont="1" applyFill="1" applyAlignment="1">
      <alignment wrapText="1"/>
    </xf>
    <xf numFmtId="167" fontId="39" fillId="26" borderId="0" xfId="0" applyNumberFormat="1" applyFont="1" applyFill="1" applyAlignment="1">
      <alignment wrapText="1"/>
    </xf>
    <xf numFmtId="167" fontId="0" fillId="0" borderId="0" xfId="0" applyNumberFormat="1"/>
    <xf numFmtId="0" fontId="1" fillId="0" borderId="42" xfId="0" applyFont="1" applyBorder="1"/>
    <xf numFmtId="167" fontId="0" fillId="0" borderId="39" xfId="0" applyNumberFormat="1" applyBorder="1"/>
    <xf numFmtId="0" fontId="0" fillId="0" borderId="42" xfId="0" applyBorder="1"/>
    <xf numFmtId="167" fontId="0" fillId="0" borderId="5" xfId="0" applyNumberFormat="1" applyBorder="1"/>
    <xf numFmtId="0" fontId="0" fillId="0" borderId="43" xfId="0" applyBorder="1"/>
    <xf numFmtId="0" fontId="0" fillId="35" borderId="42" xfId="0" applyFill="1" applyBorder="1" applyAlignment="1">
      <alignment horizontal="right"/>
    </xf>
    <xf numFmtId="167" fontId="0" fillId="35" borderId="39" xfId="0" applyNumberFormat="1" applyFill="1" applyBorder="1" applyAlignment="1">
      <alignment horizontal="right"/>
    </xf>
    <xf numFmtId="0" fontId="0" fillId="3" borderId="42" xfId="0" applyFill="1" applyBorder="1" applyAlignment="1">
      <alignment horizontal="right"/>
    </xf>
    <xf numFmtId="167" fontId="0" fillId="3" borderId="39" xfId="0" applyNumberFormat="1" applyFill="1" applyBorder="1"/>
    <xf numFmtId="0" fontId="0" fillId="0" borderId="42" xfId="0" applyFill="1" applyBorder="1" applyAlignment="1">
      <alignment horizontal="right"/>
    </xf>
    <xf numFmtId="167" fontId="0" fillId="0" borderId="39" xfId="0" applyNumberFormat="1" applyFill="1" applyBorder="1" applyAlignment="1">
      <alignment horizontal="right"/>
    </xf>
    <xf numFmtId="167" fontId="0" fillId="16" borderId="39" xfId="0" applyNumberFormat="1" applyFill="1" applyBorder="1"/>
    <xf numFmtId="167" fontId="0" fillId="26" borderId="39" xfId="0" applyNumberFormat="1" applyFill="1" applyBorder="1"/>
    <xf numFmtId="0" fontId="4" fillId="0" borderId="43" xfId="0" applyFont="1" applyBorder="1" applyAlignment="1">
      <alignment horizontal="right"/>
    </xf>
    <xf numFmtId="167" fontId="4" fillId="0" borderId="5" xfId="0" applyNumberFormat="1" applyFont="1" applyBorder="1"/>
    <xf numFmtId="0" fontId="4" fillId="0" borderId="40" xfId="0" applyFont="1" applyBorder="1" applyAlignment="1">
      <alignment horizontal="right"/>
    </xf>
    <xf numFmtId="167" fontId="1" fillId="0" borderId="39" xfId="0" applyNumberFormat="1" applyFont="1" applyBorder="1"/>
    <xf numFmtId="0" fontId="1" fillId="0" borderId="24" xfId="0" applyFont="1" applyBorder="1"/>
    <xf numFmtId="167" fontId="0" fillId="0" borderId="38" xfId="0" applyNumberFormat="1" applyBorder="1"/>
    <xf numFmtId="0" fontId="0" fillId="26" borderId="42" xfId="0" applyFill="1" applyBorder="1" applyAlignment="1">
      <alignment horizontal="right"/>
    </xf>
    <xf numFmtId="167" fontId="0" fillId="35" borderId="39" xfId="0" applyNumberFormat="1" applyFill="1" applyBorder="1"/>
    <xf numFmtId="166" fontId="0" fillId="0" borderId="0" xfId="0" applyNumberFormat="1"/>
    <xf numFmtId="167" fontId="0" fillId="26" borderId="39" xfId="0" applyNumberFormat="1" applyFill="1" applyBorder="1" applyAlignment="1">
      <alignment horizontal="right"/>
    </xf>
    <xf numFmtId="0" fontId="0" fillId="12" borderId="42" xfId="0" applyFill="1" applyBorder="1" applyAlignment="1">
      <alignment horizontal="right"/>
    </xf>
    <xf numFmtId="167" fontId="0" fillId="12" borderId="39" xfId="0" applyNumberFormat="1" applyFill="1" applyBorder="1"/>
    <xf numFmtId="167" fontId="0" fillId="0" borderId="0" xfId="0" applyNumberFormat="1" applyBorder="1"/>
    <xf numFmtId="0" fontId="0" fillId="26" borderId="0" xfId="0" applyFill="1" applyBorder="1" applyAlignment="1">
      <alignment horizontal="right"/>
    </xf>
    <xf numFmtId="0" fontId="0" fillId="0" borderId="40" xfId="0" applyBorder="1"/>
    <xf numFmtId="0" fontId="1" fillId="0" borderId="41" xfId="0" applyFont="1" applyBorder="1"/>
    <xf numFmtId="0" fontId="1" fillId="0" borderId="0" xfId="0" applyFont="1" applyBorder="1"/>
    <xf numFmtId="0" fontId="0" fillId="16" borderId="0" xfId="0" applyFill="1" applyBorder="1" applyAlignment="1">
      <alignment horizontal="right"/>
    </xf>
    <xf numFmtId="0" fontId="0" fillId="0" borderId="0" xfId="0" applyBorder="1" applyAlignment="1">
      <alignment horizontal="right"/>
    </xf>
    <xf numFmtId="0" fontId="0" fillId="35" borderId="0" xfId="0" applyFont="1" applyFill="1" applyBorder="1" applyAlignment="1">
      <alignment horizontal="right"/>
    </xf>
    <xf numFmtId="0" fontId="0" fillId="35" borderId="0" xfId="0" applyFill="1" applyBorder="1" applyAlignment="1">
      <alignment horizontal="right"/>
    </xf>
    <xf numFmtId="167" fontId="1" fillId="0" borderId="39" xfId="0" applyNumberFormat="1" applyFont="1" applyFill="1" applyBorder="1" applyAlignment="1">
      <alignment horizontal="right"/>
    </xf>
    <xf numFmtId="0" fontId="1" fillId="0" borderId="4" xfId="0" applyFont="1" applyBorder="1"/>
    <xf numFmtId="0" fontId="0" fillId="0" borderId="2" xfId="0" applyBorder="1"/>
    <xf numFmtId="166" fontId="0" fillId="0" borderId="0" xfId="2" applyNumberFormat="1" applyFont="1" applyBorder="1"/>
    <xf numFmtId="166" fontId="0" fillId="0" borderId="39" xfId="2" applyNumberFormat="1" applyFont="1" applyBorder="1"/>
    <xf numFmtId="166" fontId="0" fillId="0" borderId="40" xfId="2" applyNumberFormat="1" applyFont="1" applyBorder="1"/>
    <xf numFmtId="167" fontId="0" fillId="0" borderId="40" xfId="0" applyNumberFormat="1" applyBorder="1"/>
    <xf numFmtId="166" fontId="0" fillId="0" borderId="5" xfId="2" applyNumberFormat="1" applyFont="1" applyBorder="1"/>
    <xf numFmtId="0" fontId="4" fillId="0" borderId="1" xfId="0" applyFont="1" applyBorder="1" applyAlignment="1">
      <alignment horizontal="center"/>
    </xf>
    <xf numFmtId="167" fontId="0" fillId="0" borderId="9" xfId="0" applyNumberFormat="1" applyBorder="1"/>
    <xf numFmtId="167" fontId="0" fillId="0" borderId="2" xfId="0" applyNumberFormat="1" applyBorder="1"/>
    <xf numFmtId="168" fontId="1" fillId="0" borderId="2" xfId="3" applyNumberFormat="1" applyFont="1" applyBorder="1"/>
    <xf numFmtId="168" fontId="6" fillId="0" borderId="2" xfId="3" applyNumberFormat="1" applyFont="1" applyBorder="1"/>
    <xf numFmtId="167" fontId="0" fillId="3" borderId="39" xfId="0" applyNumberFormat="1" applyFill="1" applyBorder="1" applyAlignment="1">
      <alignment horizontal="right"/>
    </xf>
    <xf numFmtId="0" fontId="45" fillId="8" borderId="4" xfId="0" applyFont="1" applyFill="1" applyBorder="1" applyAlignment="1">
      <alignment horizontal="center"/>
    </xf>
    <xf numFmtId="0" fontId="0" fillId="0" borderId="0" xfId="0" applyAlignment="1">
      <alignment wrapText="1"/>
    </xf>
    <xf numFmtId="0" fontId="1" fillId="0" borderId="0" xfId="0" applyFont="1" applyAlignment="1">
      <alignment horizontal="center" vertical="center" wrapText="1"/>
    </xf>
    <xf numFmtId="0" fontId="0" fillId="36" borderId="0" xfId="0" applyFill="1" applyBorder="1" applyAlignment="1">
      <alignment horizontal="right"/>
    </xf>
    <xf numFmtId="166" fontId="0" fillId="0" borderId="1" xfId="2" applyNumberFormat="1" applyFont="1" applyFill="1" applyBorder="1"/>
    <xf numFmtId="168" fontId="0" fillId="0" borderId="0" xfId="0" applyNumberFormat="1" applyFill="1"/>
    <xf numFmtId="167" fontId="0" fillId="0" borderId="41" xfId="0" applyNumberFormat="1" applyBorder="1"/>
    <xf numFmtId="167" fontId="1" fillId="0" borderId="0" xfId="0" applyNumberFormat="1" applyFont="1" applyBorder="1"/>
    <xf numFmtId="167" fontId="0" fillId="16" borderId="0" xfId="0" applyNumberFormat="1" applyFill="1" applyBorder="1"/>
    <xf numFmtId="167" fontId="0" fillId="35" borderId="0" xfId="0" applyNumberFormat="1" applyFill="1" applyBorder="1" applyAlignment="1">
      <alignment horizontal="right"/>
    </xf>
    <xf numFmtId="167" fontId="0" fillId="26" borderId="0" xfId="0" applyNumberFormat="1" applyFill="1" applyBorder="1"/>
    <xf numFmtId="167" fontId="1" fillId="0" borderId="0" xfId="0" applyNumberFormat="1" applyFont="1" applyFill="1" applyBorder="1" applyAlignment="1">
      <alignment horizontal="right"/>
    </xf>
    <xf numFmtId="167" fontId="0" fillId="36" borderId="0" xfId="0" applyNumberFormat="1" applyFill="1" applyBorder="1" applyAlignment="1">
      <alignment horizontal="right"/>
    </xf>
    <xf numFmtId="167" fontId="0" fillId="36" borderId="0" xfId="0" applyNumberFormat="1" applyFill="1" applyBorder="1"/>
    <xf numFmtId="0" fontId="0" fillId="15" borderId="0" xfId="0" applyFill="1" applyBorder="1" applyAlignment="1">
      <alignment horizontal="right"/>
    </xf>
    <xf numFmtId="167" fontId="0" fillId="15" borderId="0" xfId="0" applyNumberFormat="1" applyFill="1" applyBorder="1"/>
    <xf numFmtId="0" fontId="47" fillId="0" borderId="0" xfId="0" applyFont="1" applyAlignment="1">
      <alignment wrapText="1"/>
    </xf>
    <xf numFmtId="0" fontId="48" fillId="0" borderId="0" xfId="0" applyFont="1" applyAlignment="1">
      <alignment wrapText="1"/>
    </xf>
    <xf numFmtId="0" fontId="49" fillId="0" borderId="0" xfId="0" applyFont="1" applyAlignment="1">
      <alignment wrapText="1"/>
    </xf>
    <xf numFmtId="0" fontId="50" fillId="0" borderId="0" xfId="0" applyFont="1"/>
    <xf numFmtId="0" fontId="1" fillId="16" borderId="1" xfId="0" applyFont="1" applyFill="1" applyBorder="1" applyAlignment="1">
      <alignment horizontal="center"/>
    </xf>
    <xf numFmtId="1" fontId="1" fillId="10" borderId="4" xfId="0" applyNumberFormat="1" applyFont="1" applyFill="1" applyBorder="1" applyAlignment="1">
      <alignment horizontal="center" wrapText="1"/>
    </xf>
    <xf numFmtId="167" fontId="5" fillId="4" borderId="3" xfId="0" applyNumberFormat="1" applyFont="1" applyFill="1" applyBorder="1"/>
    <xf numFmtId="0" fontId="21" fillId="0" borderId="0" xfId="0" applyFont="1" applyBorder="1"/>
    <xf numFmtId="0" fontId="1" fillId="0" borderId="0" xfId="0" applyFont="1" applyFill="1" applyBorder="1" applyAlignment="1">
      <alignment horizontal="right"/>
    </xf>
    <xf numFmtId="0" fontId="23" fillId="30" borderId="1" xfId="0" applyFont="1" applyFill="1" applyBorder="1" applyAlignment="1">
      <alignment horizontal="right"/>
    </xf>
    <xf numFmtId="166" fontId="23" fillId="30" borderId="1" xfId="2" applyNumberFormat="1" applyFont="1" applyFill="1" applyBorder="1" applyAlignment="1">
      <alignment horizontal="center" wrapText="1"/>
    </xf>
    <xf numFmtId="0" fontId="0" fillId="0" borderId="0" xfId="0" applyAlignment="1">
      <alignment wrapText="1"/>
    </xf>
    <xf numFmtId="0" fontId="0" fillId="0" borderId="0" xfId="0" applyAlignment="1">
      <alignment horizontal="center"/>
    </xf>
    <xf numFmtId="14" fontId="21" fillId="0" borderId="0" xfId="0" applyNumberFormat="1" applyFont="1" applyFill="1"/>
    <xf numFmtId="168" fontId="1" fillId="0" borderId="42" xfId="3" applyNumberFormat="1" applyFont="1" applyBorder="1"/>
    <xf numFmtId="168" fontId="6" fillId="0" borderId="39" xfId="3" applyNumberFormat="1" applyFont="1" applyBorder="1"/>
    <xf numFmtId="168" fontId="1" fillId="0" borderId="5" xfId="3" applyNumberFormat="1" applyFont="1" applyBorder="1"/>
    <xf numFmtId="0" fontId="0" fillId="36" borderId="42" xfId="0" applyFill="1" applyBorder="1" applyAlignment="1">
      <alignment horizontal="right"/>
    </xf>
    <xf numFmtId="0" fontId="0" fillId="0" borderId="0" xfId="0" applyAlignment="1">
      <alignment horizontal="center"/>
    </xf>
    <xf numFmtId="0" fontId="0" fillId="0" borderId="0" xfId="0" applyAlignment="1">
      <alignment horizontal="center"/>
    </xf>
    <xf numFmtId="0" fontId="36" fillId="0" borderId="1" xfId="0" applyFont="1" applyBorder="1" applyAlignment="1">
      <alignment horizontal="center"/>
    </xf>
    <xf numFmtId="165" fontId="0" fillId="0" borderId="0" xfId="0" applyNumberFormat="1" applyAlignment="1">
      <alignment horizontal="center"/>
    </xf>
    <xf numFmtId="0" fontId="42" fillId="33" borderId="1" xfId="0" applyFont="1" applyFill="1" applyBorder="1" applyAlignment="1">
      <alignment horizontal="center" vertical="top" wrapText="1"/>
    </xf>
    <xf numFmtId="0" fontId="40" fillId="33" borderId="1" xfId="0" applyFont="1" applyFill="1" applyBorder="1" applyAlignment="1">
      <alignment horizontal="center" vertical="top" wrapText="1"/>
    </xf>
    <xf numFmtId="0" fontId="40" fillId="34" borderId="1" xfId="0" applyFont="1" applyFill="1" applyBorder="1" applyAlignment="1">
      <alignment horizontal="center" vertical="top" wrapText="1"/>
    </xf>
    <xf numFmtId="0" fontId="42" fillId="34" borderId="1" xfId="0" applyFont="1" applyFill="1" applyBorder="1" applyAlignment="1">
      <alignment horizontal="center" vertical="top" wrapText="1"/>
    </xf>
    <xf numFmtId="167" fontId="0" fillId="0" borderId="0" xfId="0" applyNumberFormat="1" applyAlignment="1">
      <alignment horizontal="center"/>
    </xf>
    <xf numFmtId="167" fontId="1" fillId="8" borderId="0" xfId="0" applyNumberFormat="1" applyFont="1" applyFill="1" applyAlignment="1">
      <alignment horizontal="center"/>
    </xf>
    <xf numFmtId="167" fontId="1" fillId="0" borderId="0" xfId="0" applyNumberFormat="1" applyFont="1" applyAlignment="1">
      <alignment horizontal="center"/>
    </xf>
    <xf numFmtId="168" fontId="0" fillId="0" borderId="1" xfId="3" applyNumberFormat="1" applyFont="1" applyBorder="1" applyAlignment="1">
      <alignment horizontal="center"/>
    </xf>
    <xf numFmtId="0" fontId="0" fillId="0" borderId="1" xfId="0" applyBorder="1" applyAlignment="1">
      <alignment horizontal="right"/>
    </xf>
    <xf numFmtId="0" fontId="0" fillId="0" borderId="0" xfId="0" applyAlignment="1">
      <alignment horizontal="right"/>
    </xf>
    <xf numFmtId="0" fontId="0" fillId="0" borderId="0" xfId="0" applyAlignment="1">
      <alignment horizontal="center"/>
    </xf>
    <xf numFmtId="0" fontId="0" fillId="0" borderId="0" xfId="0" applyAlignment="1">
      <alignment wrapText="1"/>
    </xf>
    <xf numFmtId="0" fontId="50" fillId="9" borderId="44" xfId="0" applyFont="1" applyFill="1" applyBorder="1" applyAlignment="1">
      <alignment horizontal="left" vertical="top" wrapText="1"/>
    </xf>
    <xf numFmtId="0" fontId="4" fillId="0" borderId="0" xfId="0" applyFont="1"/>
    <xf numFmtId="2" fontId="0" fillId="0" borderId="0" xfId="0" applyNumberFormat="1" applyBorder="1"/>
    <xf numFmtId="0" fontId="53" fillId="0" borderId="0" xfId="0" applyFont="1"/>
    <xf numFmtId="0" fontId="54" fillId="0" borderId="0" xfId="0" applyFont="1"/>
    <xf numFmtId="0" fontId="55" fillId="0" borderId="0" xfId="0" applyFont="1"/>
    <xf numFmtId="167" fontId="43" fillId="3" borderId="1" xfId="0" applyNumberFormat="1" applyFont="1" applyFill="1" applyBorder="1"/>
    <xf numFmtId="167" fontId="44" fillId="12" borderId="1" xfId="0" applyNumberFormat="1" applyFont="1" applyFill="1" applyBorder="1"/>
    <xf numFmtId="166" fontId="0" fillId="0" borderId="0" xfId="0" applyNumberFormat="1" applyFill="1"/>
    <xf numFmtId="166" fontId="0" fillId="2" borderId="1" xfId="2" applyNumberFormat="1" applyFont="1" applyFill="1" applyBorder="1"/>
    <xf numFmtId="0" fontId="0" fillId="38" borderId="1" xfId="0" applyFill="1" applyBorder="1"/>
    <xf numFmtId="166" fontId="0" fillId="38" borderId="1" xfId="2" applyNumberFormat="1" applyFont="1" applyFill="1" applyBorder="1"/>
    <xf numFmtId="0" fontId="1" fillId="2" borderId="1" xfId="0" applyFont="1" applyFill="1" applyBorder="1"/>
    <xf numFmtId="0" fontId="1" fillId="38" borderId="1" xfId="0" applyFont="1" applyFill="1" applyBorder="1"/>
    <xf numFmtId="0" fontId="36" fillId="2" borderId="1" xfId="0" applyFont="1" applyFill="1" applyBorder="1"/>
    <xf numFmtId="0" fontId="0" fillId="35" borderId="1" xfId="0" applyFill="1" applyBorder="1" applyAlignment="1">
      <alignment horizontal="right"/>
    </xf>
    <xf numFmtId="167" fontId="0" fillId="35" borderId="1" xfId="0" applyNumberFormat="1" applyFill="1" applyBorder="1" applyAlignment="1">
      <alignment horizontal="right"/>
    </xf>
    <xf numFmtId="0" fontId="0" fillId="15" borderId="1" xfId="0" applyFill="1" applyBorder="1" applyAlignment="1">
      <alignment horizontal="right"/>
    </xf>
    <xf numFmtId="167" fontId="0" fillId="15" borderId="1" xfId="0" applyNumberFormat="1" applyFill="1" applyBorder="1"/>
    <xf numFmtId="166" fontId="0" fillId="40" borderId="1" xfId="2" applyNumberFormat="1" applyFont="1" applyFill="1" applyBorder="1"/>
    <xf numFmtId="9" fontId="0" fillId="40" borderId="1" xfId="3" applyFont="1" applyFill="1" applyBorder="1"/>
    <xf numFmtId="0" fontId="1" fillId="0" borderId="1" xfId="0" applyFont="1" applyFill="1" applyBorder="1"/>
    <xf numFmtId="0" fontId="27" fillId="0" borderId="1" xfId="0" applyFont="1" applyBorder="1"/>
    <xf numFmtId="14" fontId="29" fillId="2" borderId="1" xfId="2" applyNumberFormat="1" applyFont="1" applyFill="1" applyBorder="1"/>
    <xf numFmtId="14" fontId="29" fillId="38" borderId="1" xfId="2" applyNumberFormat="1" applyFont="1" applyFill="1" applyBorder="1"/>
    <xf numFmtId="14" fontId="29" fillId="0" borderId="1" xfId="2" applyNumberFormat="1" applyFont="1" applyBorder="1"/>
    <xf numFmtId="169" fontId="0" fillId="40" borderId="1" xfId="4" applyNumberFormat="1" applyFont="1" applyFill="1" applyBorder="1"/>
    <xf numFmtId="9" fontId="0" fillId="0" borderId="1" xfId="3" applyFont="1" applyFill="1" applyBorder="1"/>
    <xf numFmtId="14" fontId="29" fillId="0" borderId="1" xfId="2" applyNumberFormat="1" applyFont="1" applyFill="1" applyBorder="1"/>
    <xf numFmtId="169" fontId="0" fillId="38" borderId="1" xfId="4" applyNumberFormat="1" applyFont="1" applyFill="1" applyBorder="1"/>
    <xf numFmtId="0" fontId="4" fillId="8" borderId="1" xfId="0" applyFont="1" applyFill="1" applyBorder="1" applyAlignment="1">
      <alignment wrapText="1"/>
    </xf>
    <xf numFmtId="0" fontId="15" fillId="0" borderId="1" xfId="0" applyFont="1" applyBorder="1" applyAlignment="1">
      <alignment wrapText="1"/>
    </xf>
    <xf numFmtId="0" fontId="4" fillId="0" borderId="1" xfId="0" applyFont="1" applyBorder="1" applyAlignment="1">
      <alignment wrapText="1"/>
    </xf>
    <xf numFmtId="9" fontId="4" fillId="8" borderId="1" xfId="0" applyNumberFormat="1" applyFont="1" applyFill="1" applyBorder="1" applyAlignment="1">
      <alignment wrapText="1"/>
    </xf>
    <xf numFmtId="0" fontId="0" fillId="0" borderId="0" xfId="0" applyAlignment="1">
      <alignment wrapText="1"/>
    </xf>
    <xf numFmtId="0" fontId="56" fillId="0" borderId="45" xfId="0" applyFont="1" applyBorder="1" applyAlignment="1">
      <alignment wrapText="1"/>
    </xf>
    <xf numFmtId="0" fontId="50" fillId="0" borderId="0" xfId="0" applyFont="1" applyAlignment="1">
      <alignment wrapText="1"/>
    </xf>
    <xf numFmtId="0" fontId="51" fillId="0" borderId="0" xfId="0" applyFont="1" applyAlignment="1">
      <alignment wrapText="1"/>
    </xf>
    <xf numFmtId="0" fontId="52" fillId="0" borderId="0" xfId="0" applyFont="1" applyAlignment="1">
      <alignment wrapText="1"/>
    </xf>
    <xf numFmtId="0" fontId="0" fillId="0" borderId="46" xfId="0" applyBorder="1" applyAlignment="1">
      <alignment horizontal="left" wrapText="1" indent="1"/>
    </xf>
    <xf numFmtId="0" fontId="0" fillId="0" borderId="0" xfId="0" applyAlignment="1">
      <alignment horizontal="left" wrapText="1" indent="1"/>
    </xf>
    <xf numFmtId="0" fontId="54" fillId="0" borderId="0" xfId="0" applyFont="1" applyAlignment="1">
      <alignment horizontal="left" wrapText="1" indent="1"/>
    </xf>
    <xf numFmtId="0" fontId="4" fillId="0" borderId="6" xfId="0" applyFont="1" applyBorder="1" applyAlignment="1">
      <alignment horizontal="right"/>
    </xf>
    <xf numFmtId="167" fontId="4" fillId="0" borderId="4" xfId="0" applyNumberFormat="1" applyFont="1" applyBorder="1"/>
    <xf numFmtId="0" fontId="1" fillId="0" borderId="1" xfId="0" applyFont="1" applyBorder="1" applyAlignment="1">
      <alignment horizontal="center"/>
    </xf>
    <xf numFmtId="2" fontId="36" fillId="0" borderId="1" xfId="0" applyNumberFormat="1" applyFont="1" applyBorder="1" applyAlignment="1">
      <alignment horizontal="center"/>
    </xf>
    <xf numFmtId="0" fontId="57" fillId="0" borderId="0" xfId="0" applyFont="1"/>
    <xf numFmtId="0" fontId="52" fillId="0" borderId="0" xfId="0" applyFont="1"/>
    <xf numFmtId="0" fontId="59" fillId="0" borderId="0" xfId="0" applyFont="1" applyAlignment="1">
      <alignment wrapText="1"/>
    </xf>
    <xf numFmtId="0" fontId="1" fillId="0" borderId="6" xfId="0" applyFont="1" applyFill="1" applyBorder="1" applyAlignment="1">
      <alignment horizontal="right" wrapText="1"/>
    </xf>
    <xf numFmtId="0" fontId="1" fillId="0" borderId="6" xfId="0" applyFont="1" applyFill="1" applyBorder="1" applyAlignment="1">
      <alignment horizontal="right"/>
    </xf>
    <xf numFmtId="0" fontId="0" fillId="0" borderId="1" xfId="0" applyFill="1" applyBorder="1" applyAlignment="1">
      <alignment horizontal="center"/>
    </xf>
    <xf numFmtId="169" fontId="0" fillId="0" borderId="0" xfId="4" applyNumberFormat="1" applyFont="1" applyFill="1"/>
    <xf numFmtId="170" fontId="0" fillId="0" borderId="1" xfId="4" applyNumberFormat="1" applyFont="1" applyBorder="1"/>
    <xf numFmtId="165" fontId="0" fillId="0" borderId="0" xfId="0" applyNumberFormat="1"/>
    <xf numFmtId="0" fontId="9" fillId="5" borderId="0" xfId="0" applyFont="1" applyFill="1" applyAlignment="1">
      <alignment horizontal="center" wrapText="1"/>
    </xf>
    <xf numFmtId="168" fontId="0" fillId="0" borderId="0" xfId="3" applyNumberFormat="1" applyFont="1" applyFill="1"/>
    <xf numFmtId="0" fontId="46" fillId="28" borderId="0" xfId="0" applyFont="1" applyFill="1" applyBorder="1" applyAlignment="1">
      <alignment horizontal="right" wrapText="1"/>
    </xf>
    <xf numFmtId="164" fontId="21" fillId="28" borderId="0" xfId="0" applyNumberFormat="1" applyFont="1" applyFill="1"/>
    <xf numFmtId="0" fontId="46" fillId="0" borderId="0" xfId="0" applyFont="1" applyFill="1" applyBorder="1"/>
    <xf numFmtId="0" fontId="21" fillId="28" borderId="0" xfId="0" applyFont="1" applyFill="1" applyBorder="1" applyAlignment="1">
      <alignment horizontal="right" wrapText="1"/>
    </xf>
    <xf numFmtId="2" fontId="7" fillId="0" borderId="0" xfId="0" applyNumberFormat="1" applyFont="1" applyAlignment="1">
      <alignment horizontal="center" wrapText="1"/>
    </xf>
    <xf numFmtId="0" fontId="1" fillId="10" borderId="1" xfId="0" applyFont="1" applyFill="1" applyBorder="1" applyAlignment="1">
      <alignment wrapText="1"/>
    </xf>
    <xf numFmtId="0" fontId="0" fillId="0" borderId="1" xfId="0" applyBorder="1" applyAlignment="1">
      <alignment horizontal="center"/>
    </xf>
    <xf numFmtId="0" fontId="52" fillId="0" borderId="0" xfId="0" applyFont="1" applyAlignment="1">
      <alignment horizontal="left" vertical="top" wrapText="1" indent="1"/>
    </xf>
    <xf numFmtId="0" fontId="50" fillId="9" borderId="1" xfId="0" applyFont="1" applyFill="1" applyBorder="1" applyAlignment="1">
      <alignment horizontal="right" vertical="top" wrapText="1" indent="1"/>
    </xf>
    <xf numFmtId="0" fontId="50" fillId="37" borderId="1" xfId="0" applyFont="1" applyFill="1" applyBorder="1" applyAlignment="1">
      <alignment horizontal="right" vertical="top" wrapText="1" indent="1"/>
    </xf>
    <xf numFmtId="9" fontId="50" fillId="9" borderId="1" xfId="0" applyNumberFormat="1" applyFont="1" applyFill="1" applyBorder="1" applyAlignment="1">
      <alignment horizontal="right" vertical="top" wrapText="1" indent="1"/>
    </xf>
    <xf numFmtId="9" fontId="50" fillId="37" borderId="1" xfId="0" applyNumberFormat="1" applyFont="1" applyFill="1" applyBorder="1" applyAlignment="1">
      <alignment horizontal="right" vertical="top" wrapText="1" indent="1"/>
    </xf>
    <xf numFmtId="0" fontId="50" fillId="9" borderId="1" xfId="0" applyFont="1" applyFill="1" applyBorder="1" applyAlignment="1">
      <alignment horizontal="left" vertical="top" wrapText="1" indent="1"/>
    </xf>
    <xf numFmtId="0" fontId="50" fillId="37" borderId="1" xfId="0" applyFont="1" applyFill="1" applyBorder="1" applyAlignment="1">
      <alignment horizontal="left" vertical="top" wrapText="1" indent="1"/>
    </xf>
    <xf numFmtId="0" fontId="52" fillId="37" borderId="1" xfId="0" applyFont="1" applyFill="1" applyBorder="1" applyAlignment="1">
      <alignment horizontal="left" vertical="top" wrapText="1" indent="1"/>
    </xf>
    <xf numFmtId="0" fontId="52" fillId="37" borderId="1" xfId="0" applyFont="1" applyFill="1" applyBorder="1" applyAlignment="1">
      <alignment horizontal="right" vertical="top" wrapText="1" indent="1"/>
    </xf>
    <xf numFmtId="0" fontId="46" fillId="0" borderId="0" xfId="0" applyFont="1" applyAlignment="1">
      <alignment horizontal="right"/>
    </xf>
    <xf numFmtId="0" fontId="46" fillId="0" borderId="1" xfId="0" applyFont="1" applyBorder="1" applyAlignment="1">
      <alignment horizontal="right"/>
    </xf>
    <xf numFmtId="168" fontId="46" fillId="0" borderId="1" xfId="3" applyNumberFormat="1" applyFont="1" applyBorder="1" applyAlignment="1">
      <alignment horizontal="right"/>
    </xf>
    <xf numFmtId="168" fontId="1" fillId="0" borderId="1" xfId="3" applyNumberFormat="1" applyFont="1" applyBorder="1"/>
    <xf numFmtId="14" fontId="50" fillId="8" borderId="0" xfId="0" applyNumberFormat="1" applyFont="1" applyFill="1" applyAlignment="1">
      <alignment horizontal="right" vertical="top" wrapText="1" indent="1"/>
    </xf>
    <xf numFmtId="0" fontId="48" fillId="0" borderId="0" xfId="0" applyFont="1"/>
    <xf numFmtId="9" fontId="0" fillId="40" borderId="1" xfId="3" applyFont="1" applyFill="1" applyBorder="1" applyAlignment="1">
      <alignment horizontal="right"/>
    </xf>
    <xf numFmtId="9" fontId="0" fillId="0" borderId="1" xfId="3" applyFont="1" applyFill="1" applyBorder="1" applyAlignment="1">
      <alignment horizontal="right"/>
    </xf>
    <xf numFmtId="9" fontId="0" fillId="38" borderId="1" xfId="3" applyFont="1" applyFill="1" applyBorder="1" applyAlignment="1">
      <alignment horizontal="right"/>
    </xf>
    <xf numFmtId="0" fontId="1" fillId="0" borderId="1" xfId="0" applyFont="1" applyFill="1" applyBorder="1" applyAlignment="1">
      <alignment horizontal="left"/>
    </xf>
    <xf numFmtId="0" fontId="42" fillId="34" borderId="1" xfId="0" applyFont="1" applyFill="1" applyBorder="1" applyAlignment="1">
      <alignment horizontal="center" vertical="top" wrapText="1"/>
    </xf>
    <xf numFmtId="0" fontId="20" fillId="38" borderId="1" xfId="0" applyFont="1" applyFill="1" applyBorder="1"/>
    <xf numFmtId="0" fontId="23" fillId="38" borderId="1" xfId="0" applyFont="1" applyFill="1" applyBorder="1"/>
    <xf numFmtId="166" fontId="20" fillId="38" borderId="1" xfId="2" applyNumberFormat="1" applyFont="1" applyFill="1" applyBorder="1"/>
    <xf numFmtId="9" fontId="20" fillId="38" borderId="1" xfId="3" applyFont="1" applyFill="1" applyBorder="1" applyAlignment="1">
      <alignment horizontal="right"/>
    </xf>
    <xf numFmtId="14" fontId="60" fillId="38" borderId="1" xfId="2" applyNumberFormat="1" applyFont="1" applyFill="1" applyBorder="1"/>
    <xf numFmtId="169" fontId="20" fillId="38" borderId="1" xfId="4" applyNumberFormat="1" applyFont="1" applyFill="1" applyBorder="1"/>
    <xf numFmtId="0" fontId="0" fillId="0" borderId="0" xfId="0" applyAlignment="1">
      <alignment wrapText="1"/>
    </xf>
    <xf numFmtId="0" fontId="4" fillId="0" borderId="4" xfId="0" applyFont="1" applyBorder="1" applyAlignment="1">
      <alignment wrapText="1"/>
    </xf>
    <xf numFmtId="0" fontId="1" fillId="8" borderId="1" xfId="0" applyFont="1" applyFill="1" applyBorder="1" applyAlignment="1">
      <alignment wrapText="1"/>
    </xf>
    <xf numFmtId="167" fontId="36" fillId="0" borderId="0" xfId="0" applyNumberFormat="1" applyFont="1"/>
    <xf numFmtId="0" fontId="0" fillId="0" borderId="0" xfId="0" applyAlignment="1">
      <alignment horizontal="center"/>
    </xf>
    <xf numFmtId="0" fontId="0" fillId="0" borderId="0" xfId="0" applyAlignment="1">
      <alignment wrapText="1"/>
    </xf>
    <xf numFmtId="166" fontId="20" fillId="2" borderId="1" xfId="2" applyNumberFormat="1" applyFont="1" applyFill="1" applyBorder="1"/>
    <xf numFmtId="0" fontId="1" fillId="0" borderId="35" xfId="0" applyFont="1" applyFill="1" applyBorder="1" applyAlignment="1">
      <alignment horizontal="center"/>
    </xf>
    <xf numFmtId="2" fontId="0" fillId="8" borderId="0" xfId="0" applyNumberFormat="1" applyFill="1"/>
    <xf numFmtId="167" fontId="0" fillId="0" borderId="24" xfId="0" applyNumberFormat="1" applyBorder="1"/>
    <xf numFmtId="168" fontId="6" fillId="0" borderId="42" xfId="3" applyNumberFormat="1" applyFont="1" applyBorder="1"/>
    <xf numFmtId="0" fontId="0" fillId="16" borderId="42" xfId="0" applyFill="1" applyBorder="1" applyAlignment="1">
      <alignment horizontal="right"/>
    </xf>
    <xf numFmtId="0" fontId="0" fillId="0" borderId="42" xfId="0" applyBorder="1" applyAlignment="1">
      <alignment horizontal="right"/>
    </xf>
    <xf numFmtId="167" fontId="0" fillId="36" borderId="39" xfId="0" applyNumberFormat="1" applyFill="1" applyBorder="1" applyAlignment="1">
      <alignment horizontal="right"/>
    </xf>
    <xf numFmtId="167" fontId="0" fillId="36" borderId="39" xfId="0" applyNumberFormat="1" applyFill="1" applyBorder="1"/>
    <xf numFmtId="0" fontId="1" fillId="0" borderId="42" xfId="0" applyFont="1" applyFill="1" applyBorder="1" applyAlignment="1">
      <alignment horizontal="left"/>
    </xf>
    <xf numFmtId="168" fontId="6" fillId="0" borderId="3" xfId="3" applyNumberFormat="1" applyFont="1" applyBorder="1"/>
    <xf numFmtId="0" fontId="0" fillId="36" borderId="43" xfId="0" applyFill="1" applyBorder="1" applyAlignment="1">
      <alignment horizontal="right"/>
    </xf>
    <xf numFmtId="167" fontId="0" fillId="36" borderId="5" xfId="0" applyNumberFormat="1" applyFill="1" applyBorder="1"/>
    <xf numFmtId="166" fontId="23" fillId="31" borderId="1" xfId="2" applyNumberFormat="1" applyFont="1" applyFill="1" applyBorder="1" applyAlignment="1">
      <alignment horizontal="center" wrapText="1"/>
    </xf>
    <xf numFmtId="0" fontId="0" fillId="41" borderId="1" xfId="0" applyFill="1" applyBorder="1"/>
    <xf numFmtId="0" fontId="1" fillId="41" borderId="1" xfId="0" applyFont="1" applyFill="1" applyBorder="1"/>
    <xf numFmtId="166" fontId="0" fillId="41" borderId="1" xfId="2" applyNumberFormat="1" applyFont="1" applyFill="1" applyBorder="1"/>
    <xf numFmtId="9" fontId="0" fillId="41" borderId="1" xfId="3" applyFont="1" applyFill="1" applyBorder="1" applyAlignment="1">
      <alignment horizontal="right"/>
    </xf>
    <xf numFmtId="14" fontId="29" fillId="41" borderId="1" xfId="2" applyNumberFormat="1" applyFont="1" applyFill="1" applyBorder="1"/>
    <xf numFmtId="0" fontId="0" fillId="0" borderId="0" xfId="0" applyAlignment="1">
      <alignment horizontal="center"/>
    </xf>
    <xf numFmtId="0" fontId="0" fillId="0" borderId="0" xfId="0" applyAlignment="1">
      <alignment wrapText="1"/>
    </xf>
    <xf numFmtId="9" fontId="0" fillId="38" borderId="1" xfId="3" applyFont="1" applyFill="1" applyBorder="1" applyAlignment="1">
      <alignment horizontal="center"/>
    </xf>
    <xf numFmtId="0" fontId="0" fillId="0" borderId="0" xfId="0" applyAlignment="1">
      <alignment horizontal="center"/>
    </xf>
    <xf numFmtId="0" fontId="1" fillId="16" borderId="1" xfId="0" applyFont="1" applyFill="1" applyBorder="1"/>
    <xf numFmtId="0" fontId="1" fillId="2" borderId="1" xfId="0" applyFont="1" applyFill="1" applyBorder="1" applyAlignment="1">
      <alignment horizontal="center"/>
    </xf>
    <xf numFmtId="0" fontId="1" fillId="11" borderId="1" xfId="0" applyFont="1" applyFill="1" applyBorder="1"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2" fillId="0" borderId="1" xfId="0" applyFont="1" applyBorder="1" applyAlignment="1">
      <alignment horizontal="center"/>
    </xf>
    <xf numFmtId="165" fontId="1" fillId="0" borderId="0" xfId="0" applyNumberFormat="1" applyFont="1" applyAlignment="1">
      <alignment horizontal="center"/>
    </xf>
    <xf numFmtId="0" fontId="61" fillId="33" borderId="1" xfId="0" applyFont="1" applyFill="1" applyBorder="1" applyAlignment="1">
      <alignment horizontal="center" vertical="top" wrapText="1"/>
    </xf>
    <xf numFmtId="0" fontId="61" fillId="34" borderId="1" xfId="0" applyFont="1" applyFill="1" applyBorder="1" applyAlignment="1">
      <alignment horizontal="center" vertical="top" wrapText="1"/>
    </xf>
    <xf numFmtId="169" fontId="0" fillId="0" borderId="1" xfId="4" applyNumberFormat="1" applyFont="1" applyBorder="1" applyAlignment="1">
      <alignment horizontal="center"/>
    </xf>
    <xf numFmtId="0" fontId="0" fillId="0" borderId="0" xfId="0" applyAlignment="1">
      <alignment horizontal="center"/>
    </xf>
    <xf numFmtId="0" fontId="0" fillId="0" borderId="0" xfId="0" applyAlignment="1">
      <alignment wrapText="1"/>
    </xf>
    <xf numFmtId="0" fontId="1" fillId="8" borderId="6" xfId="0" applyFont="1" applyFill="1" applyBorder="1" applyAlignment="1"/>
    <xf numFmtId="0" fontId="1" fillId="8" borderId="7" xfId="0" applyFont="1" applyFill="1" applyBorder="1" applyAlignment="1"/>
    <xf numFmtId="0" fontId="1" fillId="8" borderId="4" xfId="0" applyFont="1" applyFill="1" applyBorder="1" applyAlignment="1"/>
    <xf numFmtId="0" fontId="1" fillId="28" borderId="1" xfId="0" applyFont="1" applyFill="1" applyBorder="1"/>
    <xf numFmtId="166" fontId="1" fillId="28" borderId="1" xfId="0" applyNumberFormat="1" applyFont="1" applyFill="1" applyBorder="1"/>
    <xf numFmtId="168" fontId="1" fillId="28" borderId="1" xfId="3" applyNumberFormat="1" applyFont="1" applyFill="1" applyBorder="1"/>
    <xf numFmtId="168" fontId="1" fillId="28" borderId="1" xfId="3" applyNumberFormat="1" applyFont="1" applyFill="1" applyBorder="1" applyAlignment="1">
      <alignment horizontal="right"/>
    </xf>
    <xf numFmtId="0" fontId="50" fillId="9" borderId="47" xfId="0" applyFont="1" applyFill="1" applyBorder="1" applyAlignment="1">
      <alignment horizontal="left" vertical="top" wrapText="1"/>
    </xf>
    <xf numFmtId="0" fontId="50" fillId="9" borderId="37" xfId="0" applyFont="1" applyFill="1" applyBorder="1" applyAlignment="1">
      <alignment horizontal="left" vertical="top" wrapText="1"/>
    </xf>
    <xf numFmtId="0" fontId="50" fillId="9" borderId="36" xfId="0" applyFont="1" applyFill="1" applyBorder="1" applyAlignment="1">
      <alignment horizontal="left" vertical="top" wrapText="1"/>
    </xf>
    <xf numFmtId="0" fontId="15" fillId="0" borderId="9" xfId="0" applyFont="1" applyBorder="1" applyAlignment="1">
      <alignment wrapText="1"/>
    </xf>
    <xf numFmtId="0" fontId="0" fillId="0" borderId="9" xfId="0" applyBorder="1" applyAlignment="1">
      <alignment wrapText="1"/>
    </xf>
    <xf numFmtId="0" fontId="15" fillId="0" borderId="3" xfId="0" applyFont="1" applyBorder="1" applyAlignment="1">
      <alignment wrapText="1"/>
    </xf>
    <xf numFmtId="0" fontId="0" fillId="0" borderId="3" xfId="0" applyBorder="1" applyAlignment="1">
      <alignment wrapText="1"/>
    </xf>
    <xf numFmtId="0" fontId="50" fillId="9" borderId="35" xfId="0" applyFont="1" applyFill="1" applyBorder="1" applyAlignment="1">
      <alignment horizontal="left" vertical="top" wrapText="1"/>
    </xf>
    <xf numFmtId="0" fontId="0" fillId="0" borderId="0" xfId="0" applyAlignment="1">
      <alignment horizontal="center"/>
    </xf>
    <xf numFmtId="0" fontId="1" fillId="0" borderId="0" xfId="0" applyFont="1" applyAlignment="1">
      <alignment horizontal="center"/>
    </xf>
    <xf numFmtId="0" fontId="0" fillId="0" borderId="0" xfId="0" applyFont="1" applyAlignment="1">
      <alignment horizontal="center"/>
    </xf>
    <xf numFmtId="167" fontId="0" fillId="0" borderId="0" xfId="0" applyNumberFormat="1" applyFont="1" applyAlignment="1">
      <alignment horizontal="center"/>
    </xf>
    <xf numFmtId="10" fontId="0" fillId="38" borderId="1" xfId="3" applyNumberFormat="1" applyFont="1" applyFill="1" applyBorder="1"/>
    <xf numFmtId="10" fontId="0" fillId="2" borderId="1" xfId="2" applyNumberFormat="1" applyFont="1" applyFill="1" applyBorder="1"/>
    <xf numFmtId="10" fontId="0" fillId="0" borderId="1" xfId="2" applyNumberFormat="1" applyFont="1" applyFill="1" applyBorder="1"/>
    <xf numFmtId="167" fontId="0" fillId="0" borderId="0" xfId="0" applyNumberFormat="1" applyAlignment="1">
      <alignment wrapText="1"/>
    </xf>
    <xf numFmtId="0" fontId="0" fillId="0" borderId="0" xfId="0" applyAlignment="1">
      <alignment horizontal="center"/>
    </xf>
    <xf numFmtId="0" fontId="1" fillId="0" borderId="0" xfId="0" applyFont="1" applyAlignment="1">
      <alignment horizontal="center"/>
    </xf>
    <xf numFmtId="2" fontId="36" fillId="0" borderId="0" xfId="0" applyNumberFormat="1" applyFont="1" applyBorder="1"/>
    <xf numFmtId="173" fontId="0" fillId="0" borderId="1" xfId="0" applyNumberFormat="1" applyBorder="1"/>
    <xf numFmtId="173" fontId="0" fillId="0" borderId="0" xfId="0" applyNumberFormat="1" applyBorder="1"/>
    <xf numFmtId="173" fontId="36" fillId="0" borderId="1" xfId="0" applyNumberFormat="1" applyFont="1" applyBorder="1"/>
    <xf numFmtId="173" fontId="36" fillId="0" borderId="0" xfId="0" applyNumberFormat="1" applyFont="1" applyBorder="1"/>
    <xf numFmtId="173" fontId="20" fillId="0" borderId="1" xfId="0" applyNumberFormat="1" applyFont="1" applyBorder="1"/>
    <xf numFmtId="173" fontId="20" fillId="0" borderId="0" xfId="0" applyNumberFormat="1" applyFont="1" applyBorder="1"/>
    <xf numFmtId="0" fontId="0" fillId="0" borderId="0" xfId="0" applyAlignment="1">
      <alignment horizontal="center"/>
    </xf>
    <xf numFmtId="0" fontId="1" fillId="0" borderId="0" xfId="0" applyFont="1" applyAlignment="1">
      <alignment horizontal="center"/>
    </xf>
    <xf numFmtId="0" fontId="63" fillId="42" borderId="1" xfId="5" applyFont="1" applyFill="1" applyBorder="1"/>
    <xf numFmtId="0" fontId="64" fillId="42" borderId="1" xfId="5" applyFont="1" applyFill="1" applyBorder="1"/>
    <xf numFmtId="0" fontId="0" fillId="0" borderId="0" xfId="0" applyAlignment="1">
      <alignment horizontal="center"/>
    </xf>
    <xf numFmtId="166" fontId="0" fillId="0" borderId="0" xfId="2" applyNumberFormat="1" applyFont="1" applyAlignment="1">
      <alignment horizontal="center"/>
    </xf>
    <xf numFmtId="9" fontId="0" fillId="0" borderId="0" xfId="3" applyFont="1" applyAlignment="1">
      <alignment horizontal="center"/>
    </xf>
    <xf numFmtId="0" fontId="0" fillId="0" borderId="1" xfId="0" applyBorder="1" applyAlignment="1">
      <alignment horizontal="center"/>
    </xf>
    <xf numFmtId="166" fontId="0" fillId="0" borderId="1" xfId="2" applyNumberFormat="1" applyFont="1" applyBorder="1" applyAlignment="1">
      <alignment horizontal="center"/>
    </xf>
    <xf numFmtId="166" fontId="36" fillId="0" borderId="1" xfId="2" applyNumberFormat="1" applyFont="1" applyBorder="1" applyAlignment="1">
      <alignment horizontal="center"/>
    </xf>
    <xf numFmtId="1" fontId="0" fillId="29" borderId="32" xfId="0" applyNumberFormat="1" applyFill="1" applyBorder="1"/>
    <xf numFmtId="0" fontId="0" fillId="0" borderId="0" xfId="0" applyAlignment="1">
      <alignment horizontal="center"/>
    </xf>
    <xf numFmtId="0" fontId="0" fillId="0" borderId="0" xfId="0" applyAlignment="1">
      <alignment wrapText="1"/>
    </xf>
    <xf numFmtId="169" fontId="0" fillId="0" borderId="1" xfId="4" applyNumberFormat="1" applyFont="1" applyFill="1" applyBorder="1"/>
    <xf numFmtId="0" fontId="0" fillId="0" borderId="0" xfId="0" applyFill="1" applyAlignment="1">
      <alignment horizontal="right"/>
    </xf>
    <xf numFmtId="1" fontId="1" fillId="11" borderId="1" xfId="0" applyNumberFormat="1" applyFont="1" applyFill="1" applyBorder="1" applyAlignment="1">
      <alignment horizontal="center" wrapText="1"/>
    </xf>
    <xf numFmtId="0" fontId="0" fillId="0" borderId="0" xfId="0" applyAlignment="1">
      <alignment horizontal="center" wrapText="1"/>
    </xf>
    <xf numFmtId="0" fontId="0" fillId="0" borderId="0" xfId="0" applyFill="1" applyAlignment="1">
      <alignment horizontal="center"/>
    </xf>
    <xf numFmtId="0" fontId="20" fillId="0" borderId="0" xfId="0" applyFont="1" applyFill="1" applyAlignment="1">
      <alignment horizontal="center"/>
    </xf>
    <xf numFmtId="0" fontId="0" fillId="0" borderId="0" xfId="0" applyAlignment="1">
      <alignment horizontal="center"/>
    </xf>
    <xf numFmtId="170" fontId="0" fillId="0" borderId="0" xfId="4" applyNumberFormat="1" applyFont="1"/>
    <xf numFmtId="172" fontId="0" fillId="0" borderId="0" xfId="0" applyNumberFormat="1"/>
    <xf numFmtId="0" fontId="0" fillId="0" borderId="0" xfId="0" applyAlignment="1">
      <alignment horizontal="center"/>
    </xf>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171" fontId="1" fillId="0" borderId="1" xfId="0" applyNumberFormat="1" applyFont="1" applyFill="1" applyBorder="1" applyAlignment="1">
      <alignment horizontal="center"/>
    </xf>
    <xf numFmtId="0" fontId="0" fillId="0" borderId="42" xfId="0" applyFill="1" applyBorder="1" applyAlignment="1"/>
    <xf numFmtId="0" fontId="0" fillId="0" borderId="0" xfId="0" applyFill="1" applyBorder="1" applyAlignment="1"/>
    <xf numFmtId="2" fontId="0" fillId="0" borderId="0" xfId="4" applyNumberFormat="1" applyFont="1" applyAlignment="1">
      <alignment horizontal="center"/>
    </xf>
    <xf numFmtId="0" fontId="52" fillId="9" borderId="44" xfId="0" applyFont="1" applyFill="1" applyBorder="1" applyAlignment="1">
      <alignment horizontal="left" vertical="top" wrapText="1"/>
    </xf>
    <xf numFmtId="0" fontId="13" fillId="8" borderId="9" xfId="0" applyFont="1" applyFill="1" applyBorder="1" applyAlignment="1">
      <alignment horizontal="center"/>
    </xf>
    <xf numFmtId="171" fontId="13" fillId="8" borderId="1" xfId="0" applyNumberFormat="1" applyFont="1" applyFill="1" applyBorder="1" applyAlignment="1">
      <alignment horizontal="center"/>
    </xf>
    <xf numFmtId="0" fontId="1" fillId="38" borderId="1" xfId="0" applyFont="1" applyFill="1" applyBorder="1" applyAlignment="1">
      <alignment horizontal="center"/>
    </xf>
    <xf numFmtId="0" fontId="1" fillId="3" borderId="1" xfId="0" applyFont="1" applyFill="1" applyBorder="1" applyAlignment="1">
      <alignment horizontal="center"/>
    </xf>
    <xf numFmtId="2" fontId="0" fillId="0" borderId="1" xfId="4" applyNumberFormat="1" applyFont="1" applyBorder="1" applyAlignment="1">
      <alignment horizontal="center"/>
    </xf>
    <xf numFmtId="1" fontId="0" fillId="0" borderId="1" xfId="4" applyNumberFormat="1" applyFont="1" applyBorder="1" applyAlignment="1">
      <alignment horizontal="center"/>
    </xf>
    <xf numFmtId="171" fontId="32" fillId="0" borderId="1" xfId="0" applyNumberFormat="1" applyFont="1" applyBorder="1" applyAlignment="1">
      <alignment horizontal="center"/>
    </xf>
    <xf numFmtId="171" fontId="23" fillId="0" borderId="1" xfId="0" applyNumberFormat="1" applyFont="1" applyBorder="1" applyAlignment="1">
      <alignment horizontal="center"/>
    </xf>
    <xf numFmtId="0" fontId="1" fillId="38" borderId="1" xfId="0" applyFont="1" applyFill="1" applyBorder="1" applyAlignment="1">
      <alignment horizontal="center"/>
    </xf>
    <xf numFmtId="0" fontId="1" fillId="38" borderId="1" xfId="0" applyFont="1" applyFill="1" applyBorder="1" applyAlignment="1">
      <alignment horizontal="center"/>
    </xf>
    <xf numFmtId="0" fontId="0" fillId="0" borderId="1" xfId="0" applyBorder="1" applyAlignment="1">
      <alignment horizontal="center"/>
    </xf>
    <xf numFmtId="2" fontId="20" fillId="0" borderId="1" xfId="0" applyNumberFormat="1" applyFont="1" applyBorder="1" applyAlignment="1">
      <alignment horizontal="center"/>
    </xf>
    <xf numFmtId="171" fontId="0" fillId="0" borderId="0" xfId="0" applyNumberFormat="1" applyAlignment="1">
      <alignment horizontal="center"/>
    </xf>
    <xf numFmtId="168" fontId="0" fillId="0" borderId="0" xfId="3" applyNumberFormat="1" applyFont="1" applyAlignment="1">
      <alignment horizontal="center"/>
    </xf>
    <xf numFmtId="0" fontId="1" fillId="38" borderId="1" xfId="0" applyFont="1" applyFill="1" applyBorder="1" applyAlignment="1">
      <alignment horizontal="center"/>
    </xf>
    <xf numFmtId="0" fontId="0" fillId="0" borderId="1" xfId="0" applyBorder="1" applyAlignment="1">
      <alignment horizontal="center"/>
    </xf>
    <xf numFmtId="0" fontId="1" fillId="38"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2" fontId="36" fillId="0" borderId="1" xfId="4" applyNumberFormat="1" applyFont="1" applyBorder="1" applyAlignment="1">
      <alignment horizontal="center"/>
    </xf>
    <xf numFmtId="0" fontId="0" fillId="0" borderId="0" xfId="0" applyAlignment="1">
      <alignment horizontal="center"/>
    </xf>
    <xf numFmtId="167" fontId="20" fillId="12" borderId="1" xfId="0" applyNumberFormat="1" applyFont="1" applyFill="1" applyBorder="1"/>
    <xf numFmtId="167" fontId="20" fillId="11" borderId="1" xfId="0" applyNumberFormat="1" applyFont="1" applyFill="1" applyBorder="1"/>
    <xf numFmtId="167" fontId="20" fillId="3" borderId="1" xfId="0" applyNumberFormat="1" applyFont="1" applyFill="1" applyBorder="1" applyAlignment="1">
      <alignment horizontal="center"/>
    </xf>
    <xf numFmtId="10" fontId="0" fillId="8" borderId="0" xfId="0" applyNumberFormat="1" applyFill="1"/>
    <xf numFmtId="0" fontId="52" fillId="8" borderId="0" xfId="0" applyFont="1" applyFill="1" applyAlignment="1">
      <alignment wrapText="1"/>
    </xf>
    <xf numFmtId="0" fontId="0" fillId="0" borderId="0" xfId="0" applyAlignment="1">
      <alignment horizontal="center"/>
    </xf>
    <xf numFmtId="0" fontId="65" fillId="0" borderId="0" xfId="0" applyFont="1"/>
    <xf numFmtId="0" fontId="66" fillId="0" borderId="0" xfId="0" applyFont="1"/>
    <xf numFmtId="0" fontId="66" fillId="0" borderId="0" xfId="0" applyNumberFormat="1" applyFont="1"/>
    <xf numFmtId="0" fontId="68" fillId="0" borderId="0" xfId="0" applyFont="1"/>
    <xf numFmtId="0" fontId="0" fillId="0" borderId="0" xfId="0" applyAlignment="1">
      <alignment horizontal="center"/>
    </xf>
    <xf numFmtId="2" fontId="36" fillId="0" borderId="0" xfId="0" applyNumberFormat="1" applyFont="1"/>
    <xf numFmtId="0" fontId="0" fillId="0" borderId="0" xfId="0" applyAlignment="1">
      <alignment horizontal="center"/>
    </xf>
    <xf numFmtId="1" fontId="0" fillId="0" borderId="9" xfId="0" applyNumberFormat="1" applyBorder="1"/>
    <xf numFmtId="166" fontId="0" fillId="0" borderId="6" xfId="2" applyNumberFormat="1" applyFont="1" applyBorder="1"/>
    <xf numFmtId="0" fontId="0" fillId="0" borderId="0" xfId="0" applyAlignment="1">
      <alignment horizontal="center"/>
    </xf>
    <xf numFmtId="0" fontId="0" fillId="0" borderId="0" xfId="0" applyAlignment="1">
      <alignment wrapText="1"/>
    </xf>
    <xf numFmtId="0" fontId="1" fillId="12" borderId="0" xfId="0" applyFont="1" applyFill="1" applyBorder="1"/>
    <xf numFmtId="169" fontId="69" fillId="2" borderId="0" xfId="4" applyNumberFormat="1" applyFont="1" applyFill="1" applyAlignment="1">
      <alignment horizontal="center" wrapText="1"/>
    </xf>
    <xf numFmtId="167" fontId="69" fillId="26" borderId="0" xfId="0" applyNumberFormat="1" applyFont="1" applyFill="1" applyAlignment="1">
      <alignment horizontal="center" wrapText="1"/>
    </xf>
    <xf numFmtId="169" fontId="23" fillId="0" borderId="0" xfId="4" applyNumberFormat="1" applyFont="1" applyAlignment="1">
      <alignment horizontal="center"/>
    </xf>
    <xf numFmtId="167" fontId="69" fillId="2" borderId="0" xfId="0" applyNumberFormat="1" applyFont="1" applyFill="1" applyAlignment="1">
      <alignment horizontal="center" wrapText="1"/>
    </xf>
    <xf numFmtId="43" fontId="69" fillId="26" borderId="0" xfId="4" applyFont="1" applyFill="1" applyAlignment="1">
      <alignment horizontal="center" wrapText="1"/>
    </xf>
    <xf numFmtId="43" fontId="23" fillId="0" borderId="0" xfId="4" applyFont="1" applyAlignment="1">
      <alignment horizontal="center"/>
    </xf>
    <xf numFmtId="166" fontId="1" fillId="31" borderId="1" xfId="2" applyNumberFormat="1" applyFont="1" applyFill="1" applyBorder="1" applyAlignment="1">
      <alignment horizontal="center" wrapText="1"/>
    </xf>
    <xf numFmtId="17" fontId="0" fillId="0" borderId="0" xfId="0" applyNumberFormat="1"/>
    <xf numFmtId="16" fontId="0" fillId="0" borderId="0" xfId="0" applyNumberFormat="1"/>
    <xf numFmtId="167" fontId="36" fillId="3" borderId="1" xfId="0" applyNumberFormat="1" applyFont="1" applyFill="1" applyBorder="1" applyAlignment="1">
      <alignment horizontal="center"/>
    </xf>
    <xf numFmtId="167" fontId="36" fillId="12" borderId="1" xfId="0" applyNumberFormat="1" applyFont="1" applyFill="1" applyBorder="1"/>
    <xf numFmtId="167" fontId="20" fillId="3" borderId="1" xfId="0" applyNumberFormat="1" applyFont="1" applyFill="1" applyBorder="1"/>
    <xf numFmtId="0" fontId="0" fillId="0" borderId="0" xfId="0" applyAlignment="1">
      <alignment wrapText="1"/>
    </xf>
    <xf numFmtId="174"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vertical="center" wrapText="1"/>
    </xf>
    <xf numFmtId="0" fontId="1" fillId="0" borderId="0" xfId="0" applyFont="1" applyAlignment="1">
      <alignment vertical="center" wrapText="1"/>
    </xf>
    <xf numFmtId="9" fontId="0" fillId="0" borderId="0" xfId="0" applyNumberFormat="1" applyAlignment="1">
      <alignment vertical="center" wrapText="1"/>
    </xf>
    <xf numFmtId="0" fontId="0" fillId="0" borderId="1" xfId="0" applyBorder="1" applyAlignment="1">
      <alignment horizontal="center"/>
    </xf>
    <xf numFmtId="173" fontId="0" fillId="0" borderId="0" xfId="0" applyNumberFormat="1"/>
    <xf numFmtId="168" fontId="50" fillId="9" borderId="1" xfId="0" applyNumberFormat="1" applyFont="1" applyFill="1" applyBorder="1" applyAlignment="1">
      <alignment horizontal="right" vertical="top" wrapText="1" indent="1"/>
    </xf>
    <xf numFmtId="0" fontId="0" fillId="0" borderId="0" xfId="0" applyFont="1" applyAlignment="1">
      <alignment horizontal="left" vertical="center" indent="1"/>
    </xf>
    <xf numFmtId="0" fontId="0" fillId="0" borderId="0" xfId="0" applyAlignment="1">
      <alignment horizontal="center"/>
    </xf>
    <xf numFmtId="0" fontId="70" fillId="43" borderId="0" xfId="0" applyFont="1" applyFill="1"/>
    <xf numFmtId="0" fontId="70" fillId="44" borderId="0" xfId="0" applyFont="1" applyFill="1" applyAlignment="1">
      <alignment horizontal="center"/>
    </xf>
    <xf numFmtId="0" fontId="70" fillId="45" borderId="0" xfId="0" applyFont="1" applyFill="1" applyAlignment="1">
      <alignment horizontal="center"/>
    </xf>
    <xf numFmtId="0" fontId="70" fillId="46" borderId="0" xfId="0" applyFont="1" applyFill="1"/>
    <xf numFmtId="0" fontId="70" fillId="45" borderId="0" xfId="0" applyFont="1" applyFill="1"/>
    <xf numFmtId="166" fontId="0" fillId="0" borderId="0" xfId="2" applyNumberFormat="1" applyFont="1"/>
    <xf numFmtId="14" fontId="0" fillId="0" borderId="0" xfId="2" applyNumberFormat="1" applyFont="1"/>
    <xf numFmtId="0" fontId="0" fillId="0" borderId="0" xfId="2" applyNumberFormat="1" applyFont="1" applyAlignment="1">
      <alignment horizontal="center"/>
    </xf>
    <xf numFmtId="169" fontId="0" fillId="0" borderId="0" xfId="4" applyNumberFormat="1" applyFont="1" applyAlignment="1">
      <alignment horizontal="center"/>
    </xf>
    <xf numFmtId="165" fontId="71" fillId="9" borderId="1" xfId="0" applyNumberFormat="1" applyFont="1" applyFill="1" applyBorder="1" applyAlignment="1">
      <alignment horizontal="left" vertical="center"/>
    </xf>
    <xf numFmtId="165" fontId="71" fillId="39" borderId="1" xfId="0" applyNumberFormat="1" applyFont="1" applyFill="1" applyBorder="1" applyAlignment="1">
      <alignment horizontal="left" vertical="center"/>
    </xf>
    <xf numFmtId="165" fontId="50" fillId="9" borderId="1" xfId="0" applyNumberFormat="1" applyFont="1" applyFill="1" applyBorder="1" applyAlignment="1">
      <alignment horizontal="center" vertical="center"/>
    </xf>
    <xf numFmtId="165" fontId="50" fillId="39" borderId="1" xfId="0" applyNumberFormat="1" applyFont="1" applyFill="1" applyBorder="1" applyAlignment="1">
      <alignment horizontal="left" vertical="center"/>
    </xf>
    <xf numFmtId="165" fontId="50" fillId="9" borderId="1" xfId="0" applyNumberFormat="1" applyFont="1" applyFill="1" applyBorder="1" applyAlignment="1">
      <alignment horizontal="left" vertical="center"/>
    </xf>
    <xf numFmtId="165" fontId="71" fillId="9" borderId="1" xfId="0" applyNumberFormat="1" applyFont="1" applyFill="1" applyBorder="1" applyAlignment="1">
      <alignment horizontal="center" vertical="center"/>
    </xf>
    <xf numFmtId="168" fontId="0" fillId="0" borderId="1" xfId="0" applyNumberFormat="1" applyBorder="1" applyAlignment="1">
      <alignment horizontal="center"/>
    </xf>
    <xf numFmtId="168" fontId="0" fillId="0" borderId="9" xfId="0" applyNumberFormat="1" applyBorder="1" applyAlignment="1">
      <alignment horizontal="center"/>
    </xf>
    <xf numFmtId="168" fontId="0" fillId="0" borderId="11" xfId="0" applyNumberFormat="1" applyBorder="1" applyAlignment="1">
      <alignment horizontal="center"/>
    </xf>
    <xf numFmtId="168" fontId="0" fillId="0" borderId="6" xfId="0" applyNumberFormat="1" applyBorder="1" applyAlignment="1">
      <alignment horizontal="center"/>
    </xf>
    <xf numFmtId="168" fontId="0" fillId="0" borderId="15" xfId="0" applyNumberFormat="1" applyBorder="1" applyAlignment="1">
      <alignment horizontal="center"/>
    </xf>
    <xf numFmtId="168" fontId="0" fillId="0" borderId="24" xfId="0" applyNumberFormat="1" applyBorder="1" applyAlignment="1">
      <alignment horizontal="center"/>
    </xf>
    <xf numFmtId="168" fontId="0" fillId="0" borderId="25" xfId="0" applyNumberFormat="1" applyBorder="1" applyAlignment="1">
      <alignment horizontal="center"/>
    </xf>
    <xf numFmtId="0" fontId="0" fillId="0" borderId="0" xfId="0" applyAlignment="1">
      <alignment horizontal="center"/>
    </xf>
    <xf numFmtId="0" fontId="0" fillId="0" borderId="48" xfId="0" applyBorder="1"/>
    <xf numFmtId="168" fontId="0" fillId="0" borderId="2" xfId="0" applyNumberFormat="1" applyBorder="1"/>
    <xf numFmtId="168" fontId="0" fillId="0" borderId="2" xfId="0" applyNumberFormat="1" applyBorder="1" applyAlignment="1">
      <alignment horizontal="center"/>
    </xf>
    <xf numFmtId="168" fontId="0" fillId="0" borderId="42" xfId="0" applyNumberFormat="1" applyBorder="1" applyAlignment="1">
      <alignment horizontal="center"/>
    </xf>
    <xf numFmtId="168" fontId="0" fillId="0" borderId="49" xfId="0" applyNumberFormat="1" applyBorder="1" applyAlignment="1">
      <alignment horizontal="center"/>
    </xf>
    <xf numFmtId="168" fontId="0" fillId="0" borderId="3" xfId="0" applyNumberFormat="1" applyBorder="1"/>
    <xf numFmtId="168" fontId="0" fillId="0" borderId="43" xfId="0" applyNumberFormat="1" applyBorder="1" applyAlignment="1">
      <alignment horizontal="center"/>
    </xf>
    <xf numFmtId="168" fontId="0" fillId="0" borderId="50" xfId="0" applyNumberFormat="1" applyBorder="1" applyAlignment="1">
      <alignment horizontal="center"/>
    </xf>
    <xf numFmtId="0" fontId="0" fillId="0" borderId="51" xfId="0" applyBorder="1"/>
    <xf numFmtId="0" fontId="0" fillId="0" borderId="0" xfId="0" applyAlignment="1">
      <alignment wrapText="1"/>
    </xf>
    <xf numFmtId="0" fontId="0" fillId="0" borderId="0" xfId="0" applyAlignment="1">
      <alignment horizontal="center"/>
    </xf>
    <xf numFmtId="0" fontId="0" fillId="0" borderId="0" xfId="0" applyAlignment="1">
      <alignment horizontal="left"/>
    </xf>
    <xf numFmtId="0" fontId="0" fillId="0" borderId="0" xfId="0" pivotButton="1"/>
    <xf numFmtId="9" fontId="34" fillId="8" borderId="1" xfId="0" applyNumberFormat="1" applyFont="1" applyFill="1" applyBorder="1" applyAlignment="1">
      <alignment wrapText="1"/>
    </xf>
    <xf numFmtId="0" fontId="66" fillId="0" borderId="1" xfId="0" applyFont="1" applyBorder="1" applyAlignment="1">
      <alignment wrapText="1"/>
    </xf>
    <xf numFmtId="0" fontId="0" fillId="0" borderId="1" xfId="0" applyBorder="1" applyAlignment="1">
      <alignment horizontal="center" wrapText="1"/>
    </xf>
    <xf numFmtId="171" fontId="0" fillId="0" borderId="0" xfId="0" applyNumberFormat="1"/>
    <xf numFmtId="167" fontId="0" fillId="3" borderId="1" xfId="0" applyNumberFormat="1" applyFont="1" applyFill="1" applyBorder="1"/>
    <xf numFmtId="167" fontId="0" fillId="3" borderId="1" xfId="0" applyNumberFormat="1" applyFont="1" applyFill="1" applyBorder="1" applyAlignment="1">
      <alignment horizontal="center"/>
    </xf>
    <xf numFmtId="167" fontId="0" fillId="12" borderId="1" xfId="0" applyNumberFormat="1" applyFont="1" applyFill="1" applyBorder="1"/>
    <xf numFmtId="167" fontId="37" fillId="3" borderId="1" xfId="0" applyNumberFormat="1" applyFont="1" applyFill="1" applyBorder="1"/>
    <xf numFmtId="167" fontId="37" fillId="3" borderId="1" xfId="0" applyNumberFormat="1" applyFont="1" applyFill="1" applyBorder="1" applyAlignment="1">
      <alignment horizontal="center"/>
    </xf>
    <xf numFmtId="167" fontId="72" fillId="3" borderId="1" xfId="0" applyNumberFormat="1" applyFont="1" applyFill="1" applyBorder="1"/>
    <xf numFmtId="167" fontId="37" fillId="12" borderId="1" xfId="0" applyNumberFormat="1" applyFont="1" applyFill="1" applyBorder="1"/>
    <xf numFmtId="167" fontId="73" fillId="12" borderId="1" xfId="0" applyNumberFormat="1" applyFont="1" applyFill="1" applyBorder="1"/>
    <xf numFmtId="167" fontId="74" fillId="4" borderId="1" xfId="0" applyNumberFormat="1" applyFont="1" applyFill="1" applyBorder="1"/>
    <xf numFmtId="167" fontId="0" fillId="0" borderId="0" xfId="0" applyNumberFormat="1" applyFill="1"/>
    <xf numFmtId="10" fontId="0" fillId="0" borderId="0" xfId="3" applyNumberFormat="1" applyFont="1"/>
    <xf numFmtId="0" fontId="0" fillId="0" borderId="0" xfId="0" applyAlignment="1">
      <alignment wrapText="1"/>
    </xf>
    <xf numFmtId="0" fontId="0" fillId="0" borderId="0" xfId="0" applyAlignment="1">
      <alignment horizontal="center"/>
    </xf>
    <xf numFmtId="167" fontId="0" fillId="0" borderId="39" xfId="0" applyNumberFormat="1" applyFill="1" applyBorder="1"/>
    <xf numFmtId="168" fontId="6" fillId="0" borderId="2" xfId="3" applyNumberFormat="1" applyFont="1" applyFill="1" applyBorder="1"/>
    <xf numFmtId="0" fontId="36" fillId="0" borderId="0" xfId="0" applyFont="1" applyFill="1" applyBorder="1" applyAlignment="1">
      <alignment horizontal="right"/>
    </xf>
    <xf numFmtId="9" fontId="1" fillId="0" borderId="9" xfId="3" applyNumberFormat="1" applyFont="1" applyBorder="1"/>
    <xf numFmtId="167" fontId="34" fillId="0" borderId="0" xfId="0" applyNumberFormat="1" applyFont="1"/>
    <xf numFmtId="0" fontId="34" fillId="0" borderId="0" xfId="0" applyFont="1" applyAlignment="1">
      <alignment horizontal="right"/>
    </xf>
    <xf numFmtId="0" fontId="0" fillId="0" borderId="0" xfId="0" applyAlignment="1">
      <alignment horizontal="center"/>
    </xf>
    <xf numFmtId="2" fontId="7" fillId="0" borderId="0" xfId="0" applyNumberFormat="1" applyFont="1" applyFill="1" applyAlignment="1">
      <alignment horizontal="center" wrapText="1"/>
    </xf>
    <xf numFmtId="0" fontId="0" fillId="0" borderId="1" xfId="0" applyBorder="1" applyAlignment="1">
      <alignment horizontal="right" wrapText="1"/>
    </xf>
    <xf numFmtId="0" fontId="0" fillId="0" borderId="0" xfId="0" applyFill="1" applyAlignment="1">
      <alignment horizontal="left"/>
    </xf>
    <xf numFmtId="0" fontId="0" fillId="0" borderId="1" xfId="0" applyBorder="1" applyAlignment="1">
      <alignment horizontal="left" wrapText="1"/>
    </xf>
    <xf numFmtId="0" fontId="0" fillId="31" borderId="0" xfId="0" applyFill="1" applyAlignment="1">
      <alignment horizontal="center"/>
    </xf>
    <xf numFmtId="0" fontId="0" fillId="31" borderId="0" xfId="0" applyFill="1" applyBorder="1" applyAlignment="1">
      <alignment horizontal="center"/>
    </xf>
    <xf numFmtId="2" fontId="7" fillId="6" borderId="0" xfId="0" applyNumberFormat="1" applyFont="1" applyFill="1" applyAlignment="1">
      <alignment horizontal="center" wrapText="1"/>
    </xf>
    <xf numFmtId="165" fontId="8" fillId="0" borderId="0" xfId="0" applyNumberFormat="1" applyFont="1" applyAlignment="1">
      <alignment horizontal="center" wrapText="1"/>
    </xf>
    <xf numFmtId="171" fontId="0" fillId="0" borderId="0" xfId="0" applyNumberFormat="1" applyFill="1"/>
    <xf numFmtId="171" fontId="0" fillId="0" borderId="0" xfId="0" applyNumberFormat="1" applyFill="1" applyAlignment="1">
      <alignment horizontal="center"/>
    </xf>
    <xf numFmtId="171" fontId="8" fillId="0" borderId="0" xfId="0" applyNumberFormat="1" applyFont="1" applyFill="1" applyAlignment="1">
      <alignment horizontal="center" wrapText="1"/>
    </xf>
    <xf numFmtId="2" fontId="0" fillId="0" borderId="0" xfId="0" applyNumberFormat="1" applyFill="1" applyAlignment="1">
      <alignment horizontal="center"/>
    </xf>
    <xf numFmtId="0" fontId="0" fillId="28" borderId="0" xfId="0" applyFill="1" applyAlignment="1">
      <alignment horizontal="center"/>
    </xf>
    <xf numFmtId="1" fontId="0" fillId="0" borderId="0" xfId="0" applyNumberFormat="1" applyFill="1" applyAlignment="1">
      <alignment horizontal="center"/>
    </xf>
    <xf numFmtId="1" fontId="0" fillId="16" borderId="0" xfId="0" applyNumberFormat="1" applyFill="1" applyAlignment="1">
      <alignment horizontal="center"/>
    </xf>
    <xf numFmtId="0" fontId="0" fillId="10" borderId="0" xfId="0" applyFill="1" applyAlignment="1">
      <alignment horizontal="right"/>
    </xf>
    <xf numFmtId="1" fontId="0" fillId="10" borderId="0" xfId="0" applyNumberFormat="1" applyFill="1" applyAlignment="1">
      <alignment horizontal="center"/>
    </xf>
    <xf numFmtId="2" fontId="0" fillId="0" borderId="0" xfId="0" applyNumberFormat="1" applyFont="1" applyFill="1" applyAlignment="1">
      <alignment horizontal="center" wrapText="1"/>
    </xf>
    <xf numFmtId="0" fontId="0" fillId="8" borderId="1" xfId="0" applyFill="1" applyBorder="1" applyAlignment="1">
      <alignment horizontal="left" wrapText="1"/>
    </xf>
    <xf numFmtId="0" fontId="36" fillId="26" borderId="0" xfId="0" applyFont="1" applyFill="1" applyAlignment="1">
      <alignment horizontal="center"/>
    </xf>
    <xf numFmtId="0" fontId="1" fillId="26" borderId="0" xfId="0" applyFont="1" applyFill="1" applyAlignment="1">
      <alignment horizontal="center"/>
    </xf>
    <xf numFmtId="1" fontId="0" fillId="8" borderId="0" xfId="0" applyNumberFormat="1" applyFill="1" applyAlignment="1">
      <alignment horizontal="center"/>
    </xf>
    <xf numFmtId="167" fontId="0" fillId="18" borderId="0" xfId="0" applyNumberFormat="1" applyFill="1" applyBorder="1" applyAlignment="1">
      <alignment horizontal="center" wrapText="1"/>
    </xf>
    <xf numFmtId="167" fontId="0" fillId="15" borderId="0" xfId="0" applyNumberFormat="1" applyFill="1" applyBorder="1" applyAlignment="1">
      <alignment horizontal="center" wrapText="1"/>
    </xf>
    <xf numFmtId="167" fontId="0" fillId="0" borderId="0" xfId="0" applyNumberFormat="1" applyFill="1" applyBorder="1" applyAlignment="1">
      <alignment horizontal="center"/>
    </xf>
    <xf numFmtId="0" fontId="0" fillId="2" borderId="0" xfId="0" applyFill="1" applyBorder="1" applyAlignment="1">
      <alignment horizontal="right" wrapText="1"/>
    </xf>
    <xf numFmtId="167" fontId="0" fillId="2" borderId="0" xfId="0" applyNumberFormat="1" applyFill="1" applyBorder="1" applyAlignment="1">
      <alignment horizontal="center" wrapText="1"/>
    </xf>
    <xf numFmtId="0" fontId="0" fillId="11" borderId="0" xfId="0" applyFill="1" applyBorder="1" applyAlignment="1">
      <alignment horizontal="right" wrapText="1"/>
    </xf>
    <xf numFmtId="167" fontId="0" fillId="11" borderId="0" xfId="0" applyNumberFormat="1" applyFill="1" applyBorder="1" applyAlignment="1">
      <alignment horizontal="center" wrapText="1"/>
    </xf>
    <xf numFmtId="166" fontId="0" fillId="16" borderId="0" xfId="2" applyNumberFormat="1" applyFont="1" applyFill="1" applyAlignment="1">
      <alignment horizontal="center"/>
    </xf>
    <xf numFmtId="166" fontId="36" fillId="16" borderId="0" xfId="2" applyNumberFormat="1" applyFont="1" applyFill="1" applyAlignment="1">
      <alignment horizontal="center"/>
    </xf>
    <xf numFmtId="0" fontId="0" fillId="0" borderId="0" xfId="0" applyFill="1" applyBorder="1" applyAlignment="1">
      <alignment horizontal="right" wrapText="1"/>
    </xf>
    <xf numFmtId="0" fontId="32" fillId="0" borderId="0" xfId="0" applyFont="1" applyFill="1" applyAlignment="1">
      <alignment horizontal="center"/>
    </xf>
    <xf numFmtId="166" fontId="32" fillId="0" borderId="0" xfId="0" applyNumberFormat="1" applyFont="1" applyFill="1" applyAlignment="1">
      <alignment horizontal="center"/>
    </xf>
    <xf numFmtId="167" fontId="46" fillId="28" borderId="0" xfId="0" applyNumberFormat="1" applyFont="1" applyFill="1" applyBorder="1" applyAlignment="1">
      <alignment horizontal="center" wrapText="1"/>
    </xf>
    <xf numFmtId="166" fontId="20" fillId="16" borderId="0" xfId="2" applyNumberFormat="1" applyFont="1" applyFill="1" applyAlignment="1">
      <alignment horizontal="center"/>
    </xf>
    <xf numFmtId="0" fontId="15" fillId="0" borderId="0" xfId="0" applyFont="1" applyFill="1" applyAlignment="1">
      <alignment horizontal="center"/>
    </xf>
    <xf numFmtId="0" fontId="15" fillId="0" borderId="0" xfId="0" applyFont="1" applyFill="1"/>
    <xf numFmtId="0" fontId="15" fillId="28" borderId="0" xfId="0" applyFont="1" applyFill="1" applyBorder="1" applyAlignment="1">
      <alignment horizontal="right" wrapText="1"/>
    </xf>
    <xf numFmtId="167" fontId="15" fillId="28" borderId="0" xfId="0" applyNumberFormat="1" applyFont="1" applyFill="1" applyBorder="1" applyAlignment="1">
      <alignment horizontal="center" wrapText="1"/>
    </xf>
    <xf numFmtId="0" fontId="4" fillId="28" borderId="0" xfId="0" applyFont="1" applyFill="1" applyBorder="1" applyAlignment="1">
      <alignment horizontal="right" wrapText="1"/>
    </xf>
    <xf numFmtId="167" fontId="4" fillId="28" borderId="0" xfId="0" applyNumberFormat="1" applyFont="1" applyFill="1" applyBorder="1" applyAlignment="1">
      <alignment horizontal="center" wrapText="1"/>
    </xf>
    <xf numFmtId="166" fontId="36" fillId="8" borderId="0" xfId="2" applyNumberFormat="1" applyFont="1" applyFill="1" applyAlignment="1">
      <alignment horizontal="center"/>
    </xf>
    <xf numFmtId="1" fontId="0" fillId="28" borderId="0" xfId="0" applyNumberFormat="1" applyFill="1" applyAlignment="1">
      <alignment horizontal="center"/>
    </xf>
    <xf numFmtId="0" fontId="1" fillId="0" borderId="1" xfId="0" applyFont="1" applyBorder="1" applyAlignment="1">
      <alignment horizontal="center" wrapText="1"/>
    </xf>
    <xf numFmtId="0" fontId="0" fillId="0" borderId="0" xfId="0" applyAlignment="1">
      <alignment horizontal="center"/>
    </xf>
    <xf numFmtId="0" fontId="36" fillId="0" borderId="0" xfId="0" applyFont="1" applyFill="1" applyAlignment="1">
      <alignment horizontal="center"/>
    </xf>
    <xf numFmtId="0" fontId="36" fillId="0" borderId="0" xfId="0" applyFont="1" applyFill="1" applyBorder="1" applyAlignment="1">
      <alignment horizontal="center"/>
    </xf>
    <xf numFmtId="165" fontId="36" fillId="0" borderId="0" xfId="0" applyNumberFormat="1" applyFont="1" applyFill="1" applyAlignment="1">
      <alignment horizontal="center"/>
    </xf>
    <xf numFmtId="0" fontId="0" fillId="0" borderId="0" xfId="0" applyAlignment="1">
      <alignment wrapText="1"/>
    </xf>
    <xf numFmtId="0" fontId="0" fillId="0" borderId="0" xfId="0" applyAlignment="1">
      <alignment horizontal="center"/>
    </xf>
    <xf numFmtId="166" fontId="0" fillId="38" borderId="0" xfId="0" applyNumberFormat="1" applyFill="1"/>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10" fontId="1" fillId="0" borderId="0" xfId="3" applyNumberFormat="1" applyFont="1"/>
    <xf numFmtId="166" fontId="20" fillId="38" borderId="0" xfId="0" applyNumberFormat="1" applyFont="1" applyFill="1"/>
    <xf numFmtId="0" fontId="0" fillId="0" borderId="0" xfId="0" applyAlignment="1">
      <alignment wrapText="1"/>
    </xf>
    <xf numFmtId="0" fontId="0" fillId="0" borderId="0" xfId="0" applyAlignment="1">
      <alignment horizontal="center"/>
    </xf>
    <xf numFmtId="167" fontId="0" fillId="11" borderId="1" xfId="0" applyNumberFormat="1" applyFill="1" applyBorder="1" applyAlignment="1">
      <alignment horizontal="center"/>
    </xf>
    <xf numFmtId="0" fontId="0" fillId="0" borderId="0" xfId="0" applyAlignment="1">
      <alignment horizontal="center"/>
    </xf>
    <xf numFmtId="0" fontId="4" fillId="16" borderId="1" xfId="0" applyFont="1" applyFill="1" applyBorder="1" applyAlignment="1">
      <alignment horizontal="center"/>
    </xf>
    <xf numFmtId="168" fontId="0" fillId="0" borderId="1" xfId="0" applyNumberFormat="1" applyBorder="1" applyAlignment="1">
      <alignment horizontal="center"/>
    </xf>
    <xf numFmtId="168" fontId="0" fillId="0" borderId="9" xfId="0" applyNumberFormat="1" applyBorder="1" applyAlignment="1">
      <alignment horizontal="center"/>
    </xf>
    <xf numFmtId="168" fontId="0" fillId="0" borderId="27" xfId="0" applyNumberFormat="1" applyBorder="1" applyAlignment="1">
      <alignment horizontal="center"/>
    </xf>
    <xf numFmtId="168" fontId="0" fillId="0" borderId="22" xfId="0" applyNumberFormat="1" applyBorder="1" applyAlignment="1">
      <alignment horizontal="center"/>
    </xf>
    <xf numFmtId="168" fontId="0" fillId="0" borderId="30" xfId="0" applyNumberFormat="1" applyBorder="1" applyAlignment="1">
      <alignment horizontal="center"/>
    </xf>
    <xf numFmtId="168" fontId="0" fillId="0" borderId="11" xfId="0" applyNumberFormat="1" applyBorder="1" applyAlignment="1">
      <alignment horizontal="center"/>
    </xf>
    <xf numFmtId="0" fontId="4" fillId="16" borderId="18" xfId="0" applyFont="1" applyFill="1" applyBorder="1" applyAlignment="1">
      <alignment horizontal="center"/>
    </xf>
    <xf numFmtId="0" fontId="4" fillId="16" borderId="29" xfId="0" applyFont="1" applyFill="1" applyBorder="1" applyAlignment="1">
      <alignment horizontal="center"/>
    </xf>
    <xf numFmtId="168" fontId="0" fillId="0" borderId="18" xfId="0" applyNumberFormat="1" applyBorder="1" applyAlignment="1">
      <alignment horizontal="center"/>
    </xf>
    <xf numFmtId="168" fontId="0" fillId="0" borderId="19" xfId="0" applyNumberFormat="1" applyBorder="1" applyAlignment="1">
      <alignment horizontal="center"/>
    </xf>
    <xf numFmtId="168" fontId="0" fillId="0" borderId="23" xfId="0" applyNumberFormat="1" applyBorder="1" applyAlignment="1">
      <alignment horizontal="center"/>
    </xf>
    <xf numFmtId="168" fontId="0" fillId="0" borderId="6" xfId="0" applyNumberFormat="1" applyBorder="1" applyAlignment="1">
      <alignment horizontal="center"/>
    </xf>
    <xf numFmtId="168" fontId="0" fillId="0" borderId="15" xfId="0" applyNumberFormat="1" applyBorder="1" applyAlignment="1">
      <alignment horizontal="center"/>
    </xf>
    <xf numFmtId="168" fontId="0" fillId="0" borderId="24" xfId="0" applyNumberFormat="1" applyBorder="1" applyAlignment="1">
      <alignment horizontal="center"/>
    </xf>
    <xf numFmtId="168" fontId="0" fillId="0" borderId="25" xfId="0" applyNumberFormat="1" applyBorder="1" applyAlignment="1">
      <alignment horizontal="center"/>
    </xf>
    <xf numFmtId="168" fontId="0" fillId="0" borderId="28" xfId="0" applyNumberFormat="1" applyBorder="1" applyAlignment="1">
      <alignment horizontal="center"/>
    </xf>
    <xf numFmtId="168" fontId="0" fillId="0" borderId="8" xfId="0" applyNumberFormat="1" applyBorder="1" applyAlignment="1">
      <alignment horizontal="center"/>
    </xf>
    <xf numFmtId="171" fontId="13" fillId="8" borderId="6" xfId="0" applyNumberFormat="1" applyFont="1" applyFill="1" applyBorder="1" applyAlignment="1">
      <alignment horizontal="center"/>
    </xf>
    <xf numFmtId="171" fontId="13" fillId="8" borderId="4" xfId="0" applyNumberFormat="1" applyFont="1" applyFill="1" applyBorder="1" applyAlignment="1">
      <alignment horizontal="center"/>
    </xf>
    <xf numFmtId="0" fontId="4" fillId="16" borderId="0" xfId="0" applyFont="1" applyFill="1" applyAlignment="1">
      <alignment horizontal="center"/>
    </xf>
    <xf numFmtId="0" fontId="1" fillId="38" borderId="1" xfId="0" applyFont="1" applyFill="1" applyBorder="1" applyAlignment="1">
      <alignment horizontal="center"/>
    </xf>
    <xf numFmtId="0" fontId="16" fillId="0" borderId="1" xfId="0" applyFont="1" applyBorder="1" applyAlignment="1">
      <alignment horizontal="center"/>
    </xf>
    <xf numFmtId="0" fontId="0" fillId="0" borderId="0" xfId="0" applyAlignment="1">
      <alignment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15" borderId="1" xfId="0" applyFont="1" applyFill="1" applyBorder="1" applyAlignment="1">
      <alignment horizontal="center" vertical="top"/>
    </xf>
    <xf numFmtId="0" fontId="1" fillId="0" borderId="0" xfId="0" applyFont="1" applyAlignment="1">
      <alignment horizontal="center" vertical="center" wrapText="1"/>
    </xf>
    <xf numFmtId="0" fontId="21" fillId="25" borderId="0" xfId="0" applyFont="1" applyFill="1" applyAlignment="1">
      <alignment horizontal="center" wrapText="1"/>
    </xf>
    <xf numFmtId="0" fontId="21" fillId="27" borderId="0" xfId="0" applyFont="1" applyFill="1" applyAlignment="1">
      <alignment horizontal="center" wrapText="1"/>
    </xf>
    <xf numFmtId="0" fontId="1" fillId="31" borderId="0" xfId="0" applyFont="1" applyFill="1" applyAlignment="1">
      <alignment horizontal="center"/>
    </xf>
    <xf numFmtId="0" fontId="45" fillId="8" borderId="6" xfId="0" applyFont="1" applyFill="1" applyBorder="1" applyAlignment="1">
      <alignment horizontal="center"/>
    </xf>
    <xf numFmtId="0" fontId="45" fillId="8" borderId="7" xfId="0" applyFont="1" applyFill="1" applyBorder="1" applyAlignment="1">
      <alignment horizontal="center"/>
    </xf>
    <xf numFmtId="0" fontId="4" fillId="0" borderId="6" xfId="0" applyFont="1" applyBorder="1" applyAlignment="1">
      <alignment horizontal="center"/>
    </xf>
    <xf numFmtId="0" fontId="4" fillId="0" borderId="4" xfId="0" applyFont="1" applyBorder="1" applyAlignment="1">
      <alignment horizontal="center"/>
    </xf>
    <xf numFmtId="0" fontId="4" fillId="0" borderId="7"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4" xfId="0" applyFont="1" applyBorder="1" applyAlignment="1">
      <alignment horizontal="center"/>
    </xf>
    <xf numFmtId="0" fontId="0" fillId="0" borderId="40" xfId="0" applyBorder="1" applyAlignment="1">
      <alignment horizontal="right"/>
    </xf>
    <xf numFmtId="167" fontId="12" fillId="2" borderId="6" xfId="0" applyNumberFormat="1" applyFont="1" applyFill="1" applyBorder="1" applyAlignment="1">
      <alignment horizontal="center"/>
    </xf>
    <xf numFmtId="167" fontId="12" fillId="2" borderId="4" xfId="0" applyNumberFormat="1" applyFont="1" applyFill="1" applyBorder="1" applyAlignment="1">
      <alignment horizontal="center"/>
    </xf>
    <xf numFmtId="167" fontId="13" fillId="18" borderId="6" xfId="0" applyNumberFormat="1" applyFont="1" applyFill="1" applyBorder="1" applyAlignment="1">
      <alignment horizontal="center"/>
    </xf>
    <xf numFmtId="167" fontId="13" fillId="18" borderId="4" xfId="0" applyNumberFormat="1" applyFont="1" applyFill="1" applyBorder="1" applyAlignment="1">
      <alignment horizontal="center"/>
    </xf>
    <xf numFmtId="0" fontId="1" fillId="15" borderId="0" xfId="0" applyFont="1" applyFill="1" applyBorder="1" applyAlignment="1">
      <alignment horizontal="center" vertical="top"/>
    </xf>
    <xf numFmtId="0" fontId="0" fillId="0" borderId="7" xfId="0" applyBorder="1" applyAlignment="1">
      <alignment horizontal="right"/>
    </xf>
    <xf numFmtId="0" fontId="1" fillId="0" borderId="42" xfId="0" applyFont="1" applyBorder="1" applyAlignment="1">
      <alignment horizontal="center"/>
    </xf>
    <xf numFmtId="0" fontId="1" fillId="0" borderId="0" xfId="0" applyFont="1" applyBorder="1" applyAlignment="1">
      <alignment horizontal="center"/>
    </xf>
    <xf numFmtId="0" fontId="1" fillId="15" borderId="9" xfId="0" applyFont="1" applyFill="1" applyBorder="1" applyAlignment="1">
      <alignment horizontal="center" vertical="top"/>
    </xf>
    <xf numFmtId="0" fontId="1" fillId="15" borderId="2" xfId="0" applyFont="1" applyFill="1" applyBorder="1" applyAlignment="1">
      <alignment horizontal="center" vertical="top"/>
    </xf>
    <xf numFmtId="0" fontId="1" fillId="15" borderId="3" xfId="0" applyFont="1" applyFill="1" applyBorder="1" applyAlignment="1">
      <alignment horizontal="center" vertical="top"/>
    </xf>
    <xf numFmtId="0" fontId="0" fillId="0" borderId="6" xfId="0" applyBorder="1" applyAlignment="1">
      <alignment horizontal="right"/>
    </xf>
    <xf numFmtId="0" fontId="0" fillId="0" borderId="4" xfId="0" applyBorder="1" applyAlignment="1">
      <alignment horizontal="right"/>
    </xf>
    <xf numFmtId="0" fontId="45" fillId="8" borderId="4" xfId="0" applyFont="1" applyFill="1" applyBorder="1" applyAlignment="1">
      <alignment horizontal="center"/>
    </xf>
    <xf numFmtId="0" fontId="1" fillId="36" borderId="1" xfId="0" applyFont="1" applyFill="1" applyBorder="1" applyAlignment="1">
      <alignment horizontal="center"/>
    </xf>
    <xf numFmtId="0" fontId="4" fillId="25" borderId="6" xfId="0" applyFont="1" applyFill="1" applyBorder="1" applyAlignment="1">
      <alignment horizontal="center"/>
    </xf>
    <xf numFmtId="0" fontId="4" fillId="25" borderId="4" xfId="0" applyFont="1" applyFill="1" applyBorder="1" applyAlignment="1">
      <alignment horizontal="center"/>
    </xf>
    <xf numFmtId="0" fontId="4" fillId="14" borderId="7" xfId="0" applyFont="1" applyFill="1" applyBorder="1" applyAlignment="1">
      <alignment horizontal="center"/>
    </xf>
    <xf numFmtId="0" fontId="4" fillId="14" borderId="4" xfId="0" applyFont="1" applyFill="1" applyBorder="1" applyAlignment="1">
      <alignment horizontal="center"/>
    </xf>
    <xf numFmtId="0" fontId="1" fillId="12" borderId="9" xfId="0" applyFont="1" applyFill="1" applyBorder="1" applyAlignment="1">
      <alignment horizontal="left" vertical="top" wrapText="1"/>
    </xf>
    <xf numFmtId="0" fontId="1" fillId="12" borderId="3" xfId="0" applyFont="1" applyFill="1" applyBorder="1" applyAlignment="1">
      <alignment horizontal="left" vertical="top" wrapText="1"/>
    </xf>
    <xf numFmtId="0" fontId="1" fillId="8" borderId="6" xfId="0" applyFont="1" applyFill="1" applyBorder="1" applyAlignment="1">
      <alignment horizontal="center"/>
    </xf>
    <xf numFmtId="0" fontId="1" fillId="8" borderId="7" xfId="0" applyFont="1" applyFill="1" applyBorder="1" applyAlignment="1">
      <alignment horizontal="center"/>
    </xf>
    <xf numFmtId="0" fontId="1" fillId="8" borderId="4" xfId="0" applyFont="1" applyFill="1" applyBorder="1" applyAlignment="1">
      <alignment horizontal="center"/>
    </xf>
    <xf numFmtId="0" fontId="21" fillId="25" borderId="0" xfId="0" applyFont="1" applyFill="1" applyAlignment="1">
      <alignment horizontal="right" wrapText="1"/>
    </xf>
    <xf numFmtId="0" fontId="21" fillId="27" borderId="0" xfId="0" applyFont="1" applyFill="1" applyAlignment="1">
      <alignment horizontal="right" wrapText="1"/>
    </xf>
    <xf numFmtId="0" fontId="1" fillId="31" borderId="0" xfId="0" applyFont="1" applyFill="1" applyAlignment="1">
      <alignment horizontal="right"/>
    </xf>
    <xf numFmtId="0" fontId="0" fillId="25" borderId="1" xfId="0" applyFill="1" applyBorder="1" applyAlignment="1">
      <alignment horizontal="center"/>
    </xf>
    <xf numFmtId="0" fontId="0" fillId="17" borderId="1" xfId="0" applyFill="1" applyBorder="1" applyAlignment="1">
      <alignment horizontal="center"/>
    </xf>
    <xf numFmtId="0" fontId="0" fillId="28" borderId="1" xfId="0" applyFill="1" applyBorder="1" applyAlignment="1">
      <alignment horizontal="center"/>
    </xf>
    <xf numFmtId="0" fontId="0" fillId="0" borderId="0" xfId="0" applyAlignment="1">
      <alignment horizontal="center"/>
    </xf>
    <xf numFmtId="0" fontId="1" fillId="16" borderId="0" xfId="0" applyFont="1" applyFill="1" applyAlignment="1">
      <alignment horizontal="center"/>
    </xf>
    <xf numFmtId="0" fontId="1" fillId="0" borderId="0" xfId="0" applyFont="1" applyAlignment="1">
      <alignment horizontal="center"/>
    </xf>
    <xf numFmtId="0" fontId="31" fillId="5" borderId="0" xfId="0" applyFont="1" applyFill="1" applyAlignment="1">
      <alignment horizontal="center" wrapText="1"/>
    </xf>
    <xf numFmtId="0" fontId="27" fillId="20" borderId="0" xfId="0" applyFont="1" applyFill="1" applyAlignment="1">
      <alignment horizontal="center" wrapText="1"/>
    </xf>
    <xf numFmtId="0" fontId="27" fillId="21" borderId="0" xfId="0" applyFont="1" applyFill="1" applyAlignment="1">
      <alignment horizontal="center" wrapText="1"/>
    </xf>
    <xf numFmtId="0" fontId="27" fillId="22" borderId="0" xfId="0" applyFont="1" applyFill="1" applyAlignment="1">
      <alignment horizontal="center" wrapText="1"/>
    </xf>
    <xf numFmtId="0" fontId="27" fillId="23" borderId="0" xfId="0" applyFont="1" applyFill="1" applyAlignment="1">
      <alignment horizontal="center" wrapText="1"/>
    </xf>
    <xf numFmtId="0" fontId="27" fillId="24" borderId="0" xfId="0" applyFont="1" applyFill="1" applyAlignment="1">
      <alignment horizontal="center" wrapText="1"/>
    </xf>
    <xf numFmtId="0" fontId="0" fillId="0" borderId="0" xfId="0" applyAlignment="1">
      <alignment horizontal="left"/>
    </xf>
    <xf numFmtId="0" fontId="1" fillId="0" borderId="1" xfId="0" applyFont="1" applyBorder="1" applyAlignment="1">
      <alignment horizontal="center"/>
    </xf>
    <xf numFmtId="0" fontId="62" fillId="34" borderId="1" xfId="0" applyFont="1" applyFill="1" applyBorder="1" applyAlignment="1">
      <alignment horizontal="center" vertical="top" wrapText="1"/>
    </xf>
    <xf numFmtId="0" fontId="61" fillId="34" borderId="1" xfId="0" applyFont="1" applyFill="1" applyBorder="1" applyAlignment="1">
      <alignment horizontal="center" vertical="top" wrapText="1"/>
    </xf>
    <xf numFmtId="0" fontId="41" fillId="33" borderId="1" xfId="0" applyFont="1" applyFill="1" applyBorder="1" applyAlignment="1">
      <alignment horizontal="center" vertical="top" wrapText="1"/>
    </xf>
    <xf numFmtId="0" fontId="52" fillId="9" borderId="47" xfId="0" applyFont="1" applyFill="1" applyBorder="1" applyAlignment="1">
      <alignment horizontal="left" vertical="top" wrapText="1"/>
    </xf>
    <xf numFmtId="0" fontId="52" fillId="9" borderId="37" xfId="0" applyFont="1" applyFill="1" applyBorder="1" applyAlignment="1">
      <alignment horizontal="left" vertical="top" wrapText="1"/>
    </xf>
    <xf numFmtId="0" fontId="52" fillId="38" borderId="47" xfId="0" applyFont="1" applyFill="1" applyBorder="1" applyAlignment="1">
      <alignment horizontal="left" vertical="top" wrapText="1"/>
    </xf>
    <xf numFmtId="0" fontId="52" fillId="38" borderId="37" xfId="0" applyFont="1" applyFill="1" applyBorder="1" applyAlignment="1">
      <alignment horizontal="left" vertical="top" wrapText="1"/>
    </xf>
    <xf numFmtId="0" fontId="50" fillId="9" borderId="47" xfId="0" applyFont="1" applyFill="1" applyBorder="1" applyAlignment="1">
      <alignment horizontal="left" vertical="top" wrapText="1"/>
    </xf>
    <xf numFmtId="0" fontId="50" fillId="9" borderId="37" xfId="0" applyFont="1" applyFill="1" applyBorder="1" applyAlignment="1">
      <alignment horizontal="left" vertical="top" wrapText="1"/>
    </xf>
    <xf numFmtId="0" fontId="50" fillId="38" borderId="47" xfId="0" applyFont="1" applyFill="1" applyBorder="1" applyAlignment="1">
      <alignment horizontal="left" vertical="top" wrapText="1"/>
    </xf>
    <xf numFmtId="0" fontId="50" fillId="38" borderId="37" xfId="0" applyFont="1" applyFill="1" applyBorder="1" applyAlignment="1">
      <alignment horizontal="left" vertical="top" wrapText="1"/>
    </xf>
  </cellXfs>
  <cellStyles count="6">
    <cellStyle name="Excel Built-in Normal" xfId="5"/>
    <cellStyle name="Hipervínculo" xfId="1" builtinId="8"/>
    <cellStyle name="Millares" xfId="4" builtinId="3"/>
    <cellStyle name="Moneda" xfId="2" builtinId="4"/>
    <cellStyle name="Normal" xfId="0" builtinId="0"/>
    <cellStyle name="Porcentaje" xfId="3" builtinId="5"/>
  </cellStyles>
  <dxfs count="1895">
    <dxf>
      <font>
        <condense val="0"/>
        <extend val="0"/>
        <color rgb="FF006100"/>
      </font>
      <fill>
        <patternFill>
          <bgColor rgb="FFC6EFCE"/>
        </patternFill>
      </fill>
    </dxf>
    <dxf>
      <font>
        <condense val="0"/>
        <extend val="0"/>
        <color rgb="FF9C6500"/>
      </font>
      <fill>
        <patternFill>
          <bgColor rgb="FFFFEB9C"/>
        </patternFill>
      </fill>
    </dxf>
    <dxf>
      <font>
        <color auto="1"/>
      </font>
      <fill>
        <patternFill>
          <bgColor theme="4" tint="0.79998168889431442"/>
        </patternFill>
      </fill>
    </dxf>
    <dxf>
      <font>
        <condense val="0"/>
        <extend val="0"/>
        <color rgb="FF9C0006"/>
      </font>
      <fill>
        <patternFill>
          <bgColor rgb="FFFFC7CE"/>
        </patternFill>
      </fill>
    </dxf>
    <dxf>
      <font>
        <color rgb="FF006100"/>
      </font>
      <fill>
        <patternFill>
          <bgColor rgb="FFC6EFCE"/>
        </patternFill>
      </fill>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pivotCacheDefinition" Target="pivotCache/pivotCacheDefinition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20.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Posessión!$N$3:$N$43</c:f>
              <c:numCache>
                <c:formatCode>0%</c:formatCode>
                <c:ptCount val="41"/>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numCache>
            </c:numRef>
          </c:cat>
          <c:val>
            <c:numRef>
              <c:f>Posessión!$M$3:$M$43</c:f>
              <c:numCache>
                <c:formatCode>General</c:formatCode>
                <c:ptCount val="41"/>
                <c:pt idx="0">
                  <c:v>0</c:v>
                </c:pt>
                <c:pt idx="1">
                  <c:v>7.5116425567310291E-5</c:v>
                </c:pt>
                <c:pt idx="2">
                  <c:v>6.760829753919824E-4</c:v>
                </c:pt>
                <c:pt idx="3">
                  <c:v>2.4446083520705164E-3</c:v>
                </c:pt>
                <c:pt idx="4">
                  <c:v>6.0850631025472397E-3</c:v>
                </c:pt>
                <c:pt idx="5">
                  <c:v>1.2344395497865269E-2</c:v>
                </c:pt>
                <c:pt idx="6">
                  <c:v>2.2002618945904492E-2</c:v>
                </c:pt>
                <c:pt idx="7">
                  <c:v>3.5867053500140966E-2</c:v>
                </c:pt>
                <c:pt idx="8">
                  <c:v>5.476841498710066E-2</c:v>
                </c:pt>
                <c:pt idx="9">
                  <c:v>7.9557965516581536E-2</c:v>
                </c:pt>
                <c:pt idx="10">
                  <c:v>0.11110533514582129</c:v>
                </c:pt>
                <c:pt idx="11">
                  <c:v>0.15029679711525923</c:v>
                </c:pt>
                <c:pt idx="12">
                  <c:v>0.19803386504371684</c:v>
                </c:pt>
                <c:pt idx="13">
                  <c:v>0.25523212749091545</c:v>
                </c:pt>
                <c:pt idx="14">
                  <c:v>0.32282026288896842</c:v>
                </c:pt>
                <c:pt idx="15">
                  <c:v>0.40173919495546268</c:v>
                </c:pt>
                <c:pt idx="16">
                  <c:v>0.49294135979356263</c:v>
                </c:pt>
                <c:pt idx="17">
                  <c:v>0.59739006334454892</c:v>
                </c:pt>
                <c:pt idx="18">
                  <c:v>0.71605891303207836</c:v>
                </c:pt>
                <c:pt idx="19">
                  <c:v>0.84993131112139264</c:v>
                </c:pt>
                <c:pt idx="20">
                  <c:v>1</c:v>
                </c:pt>
                <c:pt idx="21">
                  <c:v>1.1500686888786074</c:v>
                </c:pt>
                <c:pt idx="22">
                  <c:v>1.2839410869679218</c:v>
                </c:pt>
                <c:pt idx="23">
                  <c:v>1.402609936655451</c:v>
                </c:pt>
                <c:pt idx="24">
                  <c:v>1.5070586402064374</c:v>
                </c:pt>
                <c:pt idx="25">
                  <c:v>1.5982608050445373</c:v>
                </c:pt>
                <c:pt idx="26">
                  <c:v>1.6771797371110315</c:v>
                </c:pt>
                <c:pt idx="27">
                  <c:v>1.7447678725090845</c:v>
                </c:pt>
                <c:pt idx="28">
                  <c:v>1.8019661349562832</c:v>
                </c:pt>
                <c:pt idx="29">
                  <c:v>1.8497032028847409</c:v>
                </c:pt>
                <c:pt idx="30">
                  <c:v>1.8888946648541787</c:v>
                </c:pt>
                <c:pt idx="31">
                  <c:v>1.9204420344834185</c:v>
                </c:pt>
                <c:pt idx="32">
                  <c:v>1.9452315850128994</c:v>
                </c:pt>
                <c:pt idx="33">
                  <c:v>1.9641329464998591</c:v>
                </c:pt>
                <c:pt idx="34">
                  <c:v>1.9779973810540956</c:v>
                </c:pt>
                <c:pt idx="35">
                  <c:v>1.9876556045021347</c:v>
                </c:pt>
                <c:pt idx="36">
                  <c:v>1.9939149368974527</c:v>
                </c:pt>
                <c:pt idx="37">
                  <c:v>1.9975553916479294</c:v>
                </c:pt>
                <c:pt idx="38">
                  <c:v>1.999323917024608</c:v>
                </c:pt>
                <c:pt idx="39">
                  <c:v>1.9999248835744328</c:v>
                </c:pt>
                <c:pt idx="40">
                  <c:v>2</c:v>
                </c:pt>
              </c:numCache>
            </c:numRef>
          </c:val>
          <c:smooth val="0"/>
        </c:ser>
        <c:dLbls>
          <c:showLegendKey val="0"/>
          <c:showVal val="0"/>
          <c:showCatName val="0"/>
          <c:showSerName val="0"/>
          <c:showPercent val="0"/>
          <c:showBubbleSize val="0"/>
        </c:dLbls>
        <c:marker val="1"/>
        <c:smooth val="0"/>
        <c:axId val="282322848"/>
        <c:axId val="282327944"/>
      </c:lineChart>
      <c:catAx>
        <c:axId val="282322848"/>
        <c:scaling>
          <c:orientation val="minMax"/>
        </c:scaling>
        <c:delete val="0"/>
        <c:axPos val="b"/>
        <c:numFmt formatCode="0%" sourceLinked="1"/>
        <c:majorTickMark val="out"/>
        <c:minorTickMark val="none"/>
        <c:tickLblPos val="nextTo"/>
        <c:crossAx val="282327944"/>
        <c:crosses val="autoZero"/>
        <c:auto val="1"/>
        <c:lblAlgn val="ctr"/>
        <c:lblOffset val="100"/>
        <c:noMultiLvlLbl val="0"/>
      </c:catAx>
      <c:valAx>
        <c:axId val="282327944"/>
        <c:scaling>
          <c:orientation val="minMax"/>
          <c:max val="2"/>
        </c:scaling>
        <c:delete val="1"/>
        <c:axPos val="l"/>
        <c:majorGridlines/>
        <c:numFmt formatCode="General" sourceLinked="1"/>
        <c:majorTickMark val="out"/>
        <c:minorTickMark val="none"/>
        <c:tickLblPos val="none"/>
        <c:crossAx val="28232284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EconomiaT38!$C$6</c:f>
              <c:numCache>
                <c:formatCode>_-* #,##0\ [$€-C0A]_-;\-* #,##0\ [$€-C0A]_-;_-* "-"??\ [$€-C0A]_-;_-@_-</c:formatCode>
                <c:ptCount val="1"/>
                <c:pt idx="0">
                  <c:v>2339312</c:v>
                </c:pt>
              </c:numCache>
            </c:numRef>
          </c:val>
        </c:ser>
        <c:ser>
          <c:idx val="1"/>
          <c:order val="1"/>
          <c:tx>
            <c:strRef>
              <c:f>EconomiaT38!$B$7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EconomiaT38!$C$7</c:f>
              <c:numCache>
                <c:formatCode>_-* #,##0\ [$€-C0A]_-;\-* #,##0\ [$€-C0A]_-;_-* "-"??\ [$€-C0A]_-;_-@_-</c:formatCode>
                <c:ptCount val="1"/>
                <c:pt idx="0">
                  <c:v>1046265</c:v>
                </c:pt>
              </c:numCache>
            </c:numRef>
          </c:val>
        </c:ser>
        <c:ser>
          <c:idx val="2"/>
          <c:order val="2"/>
          <c:tx>
            <c:strRef>
              <c:f>EconomiaT38!$B$8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EconomiaT38!$C$8</c:f>
              <c:numCache>
                <c:formatCode>_-* #,##0\ [$€-C0A]_-;\-* #,##0\ [$€-C0A]_-;_-* "-"??\ [$€-C0A]_-;_-@_-</c:formatCode>
                <c:ptCount val="1"/>
                <c:pt idx="0">
                  <c:v>9537434</c:v>
                </c:pt>
              </c:numCache>
            </c:numRef>
          </c:val>
        </c:ser>
        <c:ser>
          <c:idx val="3"/>
          <c:order val="3"/>
          <c:tx>
            <c:strRef>
              <c:f>EconomiaT38!$B$9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EconomiaT38!$C$9</c:f>
              <c:numCache>
                <c:formatCode>_-* #,##0\ [$€-C0A]_-;\-* #,##0\ [$€-C0A]_-;_-* "-"??\ [$€-C0A]_-;_-@_-</c:formatCode>
                <c:ptCount val="1"/>
                <c:pt idx="0">
                  <c:v>885400</c:v>
                </c:pt>
              </c:numCache>
            </c:numRef>
          </c:val>
        </c:ser>
        <c:ser>
          <c:idx val="4"/>
          <c:order val="4"/>
          <c:tx>
            <c:strRef>
              <c:f>EconomiaT38!$B$10</c:f>
              <c:strCache>
                <c:ptCount val="1"/>
                <c:pt idx="0">
                  <c:v>Comisiones</c:v>
                </c:pt>
              </c:strCache>
            </c:strRef>
          </c:tx>
          <c:invertIfNegative val="0"/>
          <c:cat>
            <c:strRef>
              <c:f>EconomiaT38!$A$13</c:f>
              <c:strCache>
                <c:ptCount val="1"/>
                <c:pt idx="0">
                  <c:v>TOTAL INGRESOS</c:v>
                </c:pt>
              </c:strCache>
            </c:strRef>
          </c:cat>
          <c:val>
            <c:numRef>
              <c:f>EconomiaT38!$C$10</c:f>
              <c:numCache>
                <c:formatCode>_-* #,##0\ [$€-C0A]_-;\-* #,##0\ [$€-C0A]_-;_-* "-"??\ [$€-C0A]_-;_-@_-</c:formatCode>
                <c:ptCount val="1"/>
                <c:pt idx="0">
                  <c:v>56595</c:v>
                </c:pt>
              </c:numCache>
            </c:numRef>
          </c:val>
        </c:ser>
        <c:ser>
          <c:idx val="5"/>
          <c:order val="5"/>
          <c:tx>
            <c:strRef>
              <c:f>EconomiaT38!$B$11</c:f>
              <c:strCache>
                <c:ptCount val="1"/>
                <c:pt idx="0">
                  <c:v>Nuevos Socios</c:v>
                </c:pt>
              </c:strCache>
            </c:strRef>
          </c:tx>
          <c:invertIfNegative val="0"/>
          <c:cat>
            <c:strRef>
              <c:f>EconomiaT38!$A$13</c:f>
              <c:strCache>
                <c:ptCount val="1"/>
                <c:pt idx="0">
                  <c:v>TOTAL INGRESOS</c:v>
                </c:pt>
              </c:strCache>
            </c:strRef>
          </c:cat>
          <c:val>
            <c:numRef>
              <c:f>EconomiaT38!$C$11</c:f>
              <c:numCache>
                <c:formatCode>_-* #,##0\ [$€-C0A]_-;\-* #,##0\ [$€-C0A]_-;_-* "-"??\ [$€-C0A]_-;_-@_-</c:formatCode>
                <c:ptCount val="1"/>
                <c:pt idx="0">
                  <c:v>47371</c:v>
                </c:pt>
              </c:numCache>
            </c:numRef>
          </c:val>
        </c:ser>
        <c:ser>
          <c:idx val="6"/>
          <c:order val="6"/>
          <c:tx>
            <c:strRef>
              <c:f>EconomiaT38!$B$12</c:f>
              <c:strCache>
                <c:ptCount val="1"/>
                <c:pt idx="0">
                  <c:v>Premios</c:v>
                </c:pt>
              </c:strCache>
            </c:strRef>
          </c:tx>
          <c:invertIfNegative val="0"/>
          <c:cat>
            <c:strRef>
              <c:f>EconomiaT38!$A$13</c:f>
              <c:strCache>
                <c:ptCount val="1"/>
                <c:pt idx="0">
                  <c:v>TOTAL INGRESOS</c:v>
                </c:pt>
              </c:strCache>
            </c:strRef>
          </c:cat>
          <c:val>
            <c:numRef>
              <c:f>EconomiaT38!$C$12</c:f>
              <c:numCache>
                <c:formatCode>_-* #,##0\ [$€-C0A]_-;\-* #,##0\ [$€-C0A]_-;_-* "-"??\ [$€-C0A]_-;_-@_-</c:formatCode>
                <c:ptCount val="1"/>
                <c:pt idx="0">
                  <c:v>100000</c:v>
                </c:pt>
              </c:numCache>
            </c:numRef>
          </c:val>
        </c:ser>
        <c:dLbls>
          <c:showLegendKey val="0"/>
          <c:showVal val="0"/>
          <c:showCatName val="0"/>
          <c:showSerName val="0"/>
          <c:showPercent val="0"/>
          <c:showBubbleSize val="0"/>
        </c:dLbls>
        <c:gapWidth val="150"/>
        <c:overlap val="100"/>
        <c:axId val="290810856"/>
        <c:axId val="290811640"/>
      </c:barChart>
      <c:catAx>
        <c:axId val="290810856"/>
        <c:scaling>
          <c:orientation val="minMax"/>
        </c:scaling>
        <c:delete val="0"/>
        <c:axPos val="b"/>
        <c:numFmt formatCode="General" sourceLinked="0"/>
        <c:majorTickMark val="out"/>
        <c:minorTickMark val="none"/>
        <c:tickLblPos val="nextTo"/>
        <c:crossAx val="290811640"/>
        <c:crosses val="autoZero"/>
        <c:auto val="1"/>
        <c:lblAlgn val="ctr"/>
        <c:lblOffset val="100"/>
        <c:noMultiLvlLbl val="0"/>
      </c:catAx>
      <c:valAx>
        <c:axId val="290811640"/>
        <c:scaling>
          <c:orientation val="minMax"/>
        </c:scaling>
        <c:delete val="0"/>
        <c:axPos val="l"/>
        <c:majorGridlines/>
        <c:numFmt formatCode="_-* #,##0\ [$€-C0A]_-;\-* #,##0\ [$€-C0A]_-;_-* &quot;-&quot;??\ [$€-C0A]_-;_-@_-" sourceLinked="1"/>
        <c:majorTickMark val="out"/>
        <c:minorTickMark val="none"/>
        <c:tickLblPos val="nextTo"/>
        <c:crossAx val="2908108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EconomiaT38!$C$14</c:f>
              <c:numCache>
                <c:formatCode>_-* #,##0\ [$€-C0A]_-;\-* #,##0\ [$€-C0A]_-;_-* "-"??\ [$€-C0A]_-;_-@_-</c:formatCode>
                <c:ptCount val="1"/>
                <c:pt idx="0">
                  <c:v>1037788</c:v>
                </c:pt>
              </c:numCache>
            </c:numRef>
          </c:val>
        </c:ser>
        <c:ser>
          <c:idx val="1"/>
          <c:order val="1"/>
          <c:tx>
            <c:strRef>
              <c:f>EconomiaT38!$B$15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EconomiaT38!$C$15</c:f>
              <c:numCache>
                <c:formatCode>_-* #,##0\ [$€-C0A]_-;\-* #,##0\ [$€-C0A]_-;_-* "-"??\ [$€-C0A]_-;_-@_-</c:formatCode>
                <c:ptCount val="1"/>
                <c:pt idx="0">
                  <c:v>303797</c:v>
                </c:pt>
              </c:numCache>
            </c:numRef>
          </c:val>
        </c:ser>
        <c:ser>
          <c:idx val="2"/>
          <c:order val="2"/>
          <c:tx>
            <c:strRef>
              <c:f>EconomiaT38!$B$16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EconomiaT38!$C$16</c:f>
              <c:numCache>
                <c:formatCode>_-* #,##0\ [$€-C0A]_-;\-* #,##0\ [$€-C0A]_-;_-* "-"??\ [$€-C0A]_-;_-@_-</c:formatCode>
                <c:ptCount val="1"/>
                <c:pt idx="0">
                  <c:v>417340</c:v>
                </c:pt>
              </c:numCache>
            </c:numRef>
          </c:val>
        </c:ser>
        <c:ser>
          <c:idx val="3"/>
          <c:order val="3"/>
          <c:tx>
            <c:strRef>
              <c:f>EconomiaT38!$B$17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EconomiaT38!$C$17</c:f>
              <c:numCache>
                <c:formatCode>_-* #,##0\ [$€-C0A]_-;\-* #,##0\ [$€-C0A]_-;_-* "-"??\ [$€-C0A]_-;_-@_-</c:formatCode>
                <c:ptCount val="1"/>
                <c:pt idx="0">
                  <c:v>482400</c:v>
                </c:pt>
              </c:numCache>
            </c:numRef>
          </c:val>
        </c:ser>
        <c:ser>
          <c:idx val="4"/>
          <c:order val="4"/>
          <c:tx>
            <c:strRef>
              <c:f>EconomiaT38!$B$18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EconomiaT38!$C$18</c:f>
              <c:numCache>
                <c:formatCode>_-* #,##0\ [$€-C0A]_-;\-* #,##0\ [$€-C0A]_-;_-* "-"??\ [$€-C0A]_-;_-@_-</c:formatCode>
                <c:ptCount val="1"/>
                <c:pt idx="0">
                  <c:v>320000</c:v>
                </c:pt>
              </c:numCache>
            </c:numRef>
          </c:val>
        </c:ser>
        <c:ser>
          <c:idx val="5"/>
          <c:order val="5"/>
          <c:tx>
            <c:strRef>
              <c:f>EconomiaT38!$B$19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EconomiaT38!$C$19</c:f>
              <c:numCache>
                <c:formatCode>_-* #,##0\ [$€-C0A]_-;\-* #,##0\ [$€-C0A]_-;_-* "-"??\ [$€-C0A]_-;_-@_-</c:formatCode>
                <c:ptCount val="1"/>
                <c:pt idx="0">
                  <c:v>10199955</c:v>
                </c:pt>
              </c:numCache>
            </c:numRef>
          </c:val>
        </c:ser>
        <c:ser>
          <c:idx val="6"/>
          <c:order val="6"/>
          <c:tx>
            <c:strRef>
              <c:f>EconomiaT38!$B$20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EconomiaT38!$C$20</c:f>
              <c:numCache>
                <c:formatCode>_-* #,##0\ [$€-C0A]_-;\-* #,##0\ [$€-C0A]_-;_-* "-"??\ [$€-C0A]_-;_-@_-</c:formatCode>
                <c:ptCount val="1"/>
                <c:pt idx="0">
                  <c:v>761672</c:v>
                </c:pt>
              </c:numCache>
            </c:numRef>
          </c:val>
        </c:ser>
        <c:ser>
          <c:idx val="7"/>
          <c:order val="7"/>
          <c:tx>
            <c:strRef>
              <c:f>EconomiaT38!$B$21</c:f>
              <c:strCache>
                <c:ptCount val="1"/>
                <c:pt idx="0">
                  <c:v>Viajes+Venta</c:v>
                </c:pt>
              </c:strCache>
            </c:strRef>
          </c:tx>
          <c:invertIfNegative val="0"/>
          <c:val>
            <c:numRef>
              <c:f>EconomiaT38!$C$21</c:f>
              <c:numCache>
                <c:formatCode>_-* #,##0\ [$€-C0A]_-;\-* #,##0\ [$€-C0A]_-;_-* "-"??\ [$€-C0A]_-;_-@_-</c:formatCode>
                <c:ptCount val="1"/>
                <c:pt idx="0">
                  <c:v>86800</c:v>
                </c:pt>
              </c:numCache>
            </c:numRef>
          </c:val>
        </c:ser>
        <c:ser>
          <c:idx val="8"/>
          <c:order val="8"/>
          <c:tx>
            <c:strRef>
              <c:f>EconomiaT38!$B$22</c:f>
              <c:strCache>
                <c:ptCount val="1"/>
                <c:pt idx="0">
                  <c:v>Intereses</c:v>
                </c:pt>
              </c:strCache>
            </c:strRef>
          </c:tx>
          <c:invertIfNegative val="0"/>
          <c:val>
            <c:numRef>
              <c:f>EconomiaT38!$C$22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0809680"/>
        <c:axId val="290809288"/>
      </c:barChart>
      <c:catAx>
        <c:axId val="290809680"/>
        <c:scaling>
          <c:orientation val="minMax"/>
        </c:scaling>
        <c:delete val="0"/>
        <c:axPos val="b"/>
        <c:numFmt formatCode="General" sourceLinked="0"/>
        <c:majorTickMark val="out"/>
        <c:minorTickMark val="none"/>
        <c:tickLblPos val="nextTo"/>
        <c:crossAx val="290809288"/>
        <c:crosses val="autoZero"/>
        <c:auto val="1"/>
        <c:lblAlgn val="ctr"/>
        <c:lblOffset val="100"/>
        <c:noMultiLvlLbl val="0"/>
      </c:catAx>
      <c:valAx>
        <c:axId val="290809288"/>
        <c:scaling>
          <c:orientation val="minMax"/>
        </c:scaling>
        <c:delete val="0"/>
        <c:axPos val="l"/>
        <c:majorGridlines/>
        <c:numFmt formatCode="_-* #,##0\ [$€-C0A]_-;\-* #,##0\ [$€-C0A]_-;_-* &quot;-&quot;??\ [$€-C0A]_-;_-@_-" sourceLinked="1"/>
        <c:majorTickMark val="out"/>
        <c:minorTickMark val="none"/>
        <c:tickLblPos val="nextTo"/>
        <c:crossAx val="2908096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EconomiaT38!$C$6</c:f>
              <c:numCache>
                <c:formatCode>_-* #,##0\ [$€-C0A]_-;\-* #,##0\ [$€-C0A]_-;_-* "-"??\ [$€-C0A]_-;_-@_-</c:formatCode>
                <c:ptCount val="1"/>
                <c:pt idx="0">
                  <c:v>2339312</c:v>
                </c:pt>
              </c:numCache>
            </c:numRef>
          </c:val>
        </c:ser>
        <c:ser>
          <c:idx val="1"/>
          <c:order val="1"/>
          <c:tx>
            <c:strRef>
              <c:f>EconomiaT38!$B$7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EconomiaT38!$C$7</c:f>
              <c:numCache>
                <c:formatCode>_-* #,##0\ [$€-C0A]_-;\-* #,##0\ [$€-C0A]_-;_-* "-"??\ [$€-C0A]_-;_-@_-</c:formatCode>
                <c:ptCount val="1"/>
                <c:pt idx="0">
                  <c:v>1046265</c:v>
                </c:pt>
              </c:numCache>
            </c:numRef>
          </c:val>
        </c:ser>
        <c:ser>
          <c:idx val="2"/>
          <c:order val="2"/>
          <c:tx>
            <c:strRef>
              <c:f>EconomiaT38!$B$8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EconomiaT38!$C$8</c:f>
              <c:numCache>
                <c:formatCode>_-* #,##0\ [$€-C0A]_-;\-* #,##0\ [$€-C0A]_-;_-* "-"??\ [$€-C0A]_-;_-@_-</c:formatCode>
                <c:ptCount val="1"/>
                <c:pt idx="0">
                  <c:v>9537434</c:v>
                </c:pt>
              </c:numCache>
            </c:numRef>
          </c:val>
        </c:ser>
        <c:ser>
          <c:idx val="3"/>
          <c:order val="3"/>
          <c:tx>
            <c:strRef>
              <c:f>EconomiaT38!$B$9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EconomiaT38!$C$9</c:f>
              <c:numCache>
                <c:formatCode>_-* #,##0\ [$€-C0A]_-;\-* #,##0\ [$€-C0A]_-;_-* "-"??\ [$€-C0A]_-;_-@_-</c:formatCode>
                <c:ptCount val="1"/>
                <c:pt idx="0">
                  <c:v>885400</c:v>
                </c:pt>
              </c:numCache>
            </c:numRef>
          </c:val>
        </c:ser>
        <c:ser>
          <c:idx val="4"/>
          <c:order val="4"/>
          <c:tx>
            <c:strRef>
              <c:f>EconomiaT38!$B$10</c:f>
              <c:strCache>
                <c:ptCount val="1"/>
                <c:pt idx="0">
                  <c:v>Comisiones</c:v>
                </c:pt>
              </c:strCache>
            </c:strRef>
          </c:tx>
          <c:invertIfNegative val="0"/>
          <c:cat>
            <c:strRef>
              <c:f>EconomiaT38!$A$13</c:f>
              <c:strCache>
                <c:ptCount val="1"/>
                <c:pt idx="0">
                  <c:v>TOTAL INGRESOS</c:v>
                </c:pt>
              </c:strCache>
            </c:strRef>
          </c:cat>
          <c:val>
            <c:numRef>
              <c:f>EconomiaT38!$C$10</c:f>
              <c:numCache>
                <c:formatCode>_-* #,##0\ [$€-C0A]_-;\-* #,##0\ [$€-C0A]_-;_-* "-"??\ [$€-C0A]_-;_-@_-</c:formatCode>
                <c:ptCount val="1"/>
                <c:pt idx="0">
                  <c:v>56595</c:v>
                </c:pt>
              </c:numCache>
            </c:numRef>
          </c:val>
        </c:ser>
        <c:ser>
          <c:idx val="5"/>
          <c:order val="5"/>
          <c:tx>
            <c:strRef>
              <c:f>EconomiaT38!$B$11</c:f>
              <c:strCache>
                <c:ptCount val="1"/>
                <c:pt idx="0">
                  <c:v>Nuevos Socios</c:v>
                </c:pt>
              </c:strCache>
            </c:strRef>
          </c:tx>
          <c:invertIfNegative val="0"/>
          <c:cat>
            <c:strRef>
              <c:f>EconomiaT38!$A$13</c:f>
              <c:strCache>
                <c:ptCount val="1"/>
                <c:pt idx="0">
                  <c:v>TOTAL INGRESOS</c:v>
                </c:pt>
              </c:strCache>
            </c:strRef>
          </c:cat>
          <c:val>
            <c:numRef>
              <c:f>EconomiaT38!$C$11</c:f>
              <c:numCache>
                <c:formatCode>_-* #,##0\ [$€-C0A]_-;\-* #,##0\ [$€-C0A]_-;_-* "-"??\ [$€-C0A]_-;_-@_-</c:formatCode>
                <c:ptCount val="1"/>
                <c:pt idx="0">
                  <c:v>47371</c:v>
                </c:pt>
              </c:numCache>
            </c:numRef>
          </c:val>
        </c:ser>
        <c:ser>
          <c:idx val="6"/>
          <c:order val="6"/>
          <c:tx>
            <c:strRef>
              <c:f>EconomiaT38!$B$12</c:f>
              <c:strCache>
                <c:ptCount val="1"/>
                <c:pt idx="0">
                  <c:v>Premios</c:v>
                </c:pt>
              </c:strCache>
            </c:strRef>
          </c:tx>
          <c:invertIfNegative val="0"/>
          <c:cat>
            <c:strRef>
              <c:f>EconomiaT38!$A$13</c:f>
              <c:strCache>
                <c:ptCount val="1"/>
                <c:pt idx="0">
                  <c:v>TOTAL INGRESOS</c:v>
                </c:pt>
              </c:strCache>
            </c:strRef>
          </c:cat>
          <c:val>
            <c:numRef>
              <c:f>EconomiaT38!$C$12</c:f>
              <c:numCache>
                <c:formatCode>_-* #,##0\ [$€-C0A]_-;\-* #,##0\ [$€-C0A]_-;_-* "-"??\ [$€-C0A]_-;_-@_-</c:formatCode>
                <c:ptCount val="1"/>
                <c:pt idx="0">
                  <c:v>100000</c:v>
                </c:pt>
              </c:numCache>
            </c:numRef>
          </c:val>
        </c:ser>
        <c:dLbls>
          <c:showLegendKey val="0"/>
          <c:showVal val="0"/>
          <c:showCatName val="0"/>
          <c:showSerName val="0"/>
          <c:showPercent val="0"/>
          <c:showBubbleSize val="0"/>
        </c:dLbls>
        <c:gapWidth val="150"/>
        <c:overlap val="100"/>
        <c:axId val="290810072"/>
        <c:axId val="290812424"/>
      </c:barChart>
      <c:catAx>
        <c:axId val="290810072"/>
        <c:scaling>
          <c:orientation val="minMax"/>
        </c:scaling>
        <c:delete val="0"/>
        <c:axPos val="b"/>
        <c:numFmt formatCode="General" sourceLinked="0"/>
        <c:majorTickMark val="out"/>
        <c:minorTickMark val="none"/>
        <c:tickLblPos val="nextTo"/>
        <c:crossAx val="290812424"/>
        <c:crosses val="autoZero"/>
        <c:auto val="1"/>
        <c:lblAlgn val="ctr"/>
        <c:lblOffset val="100"/>
        <c:noMultiLvlLbl val="0"/>
      </c:catAx>
      <c:valAx>
        <c:axId val="290812424"/>
        <c:scaling>
          <c:orientation val="minMax"/>
        </c:scaling>
        <c:delete val="0"/>
        <c:axPos val="l"/>
        <c:majorGridlines/>
        <c:numFmt formatCode="_-* #,##0\ [$€-C0A]_-;\-* #,##0\ [$€-C0A]_-;_-* &quot;-&quot;??\ [$€-C0A]_-;_-@_-" sourceLinked="1"/>
        <c:majorTickMark val="out"/>
        <c:minorTickMark val="none"/>
        <c:tickLblPos val="nextTo"/>
        <c:crossAx val="2908100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EconomiaT38!$C$14</c:f>
              <c:numCache>
                <c:formatCode>_-* #,##0\ [$€-C0A]_-;\-* #,##0\ [$€-C0A]_-;_-* "-"??\ [$€-C0A]_-;_-@_-</c:formatCode>
                <c:ptCount val="1"/>
                <c:pt idx="0">
                  <c:v>1037788</c:v>
                </c:pt>
              </c:numCache>
            </c:numRef>
          </c:val>
        </c:ser>
        <c:ser>
          <c:idx val="1"/>
          <c:order val="1"/>
          <c:tx>
            <c:strRef>
              <c:f>EconomiaT38!$B$15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EconomiaT38!$C$15</c:f>
              <c:numCache>
                <c:formatCode>_-* #,##0\ [$€-C0A]_-;\-* #,##0\ [$€-C0A]_-;_-* "-"??\ [$€-C0A]_-;_-@_-</c:formatCode>
                <c:ptCount val="1"/>
                <c:pt idx="0">
                  <c:v>303797</c:v>
                </c:pt>
              </c:numCache>
            </c:numRef>
          </c:val>
        </c:ser>
        <c:ser>
          <c:idx val="2"/>
          <c:order val="2"/>
          <c:tx>
            <c:strRef>
              <c:f>EconomiaT38!$B$16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EconomiaT38!$C$16</c:f>
              <c:numCache>
                <c:formatCode>_-* #,##0\ [$€-C0A]_-;\-* #,##0\ [$€-C0A]_-;_-* "-"??\ [$€-C0A]_-;_-@_-</c:formatCode>
                <c:ptCount val="1"/>
                <c:pt idx="0">
                  <c:v>417340</c:v>
                </c:pt>
              </c:numCache>
            </c:numRef>
          </c:val>
        </c:ser>
        <c:ser>
          <c:idx val="3"/>
          <c:order val="3"/>
          <c:tx>
            <c:strRef>
              <c:f>EconomiaT38!$B$17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EconomiaT38!$C$17</c:f>
              <c:numCache>
                <c:formatCode>_-* #,##0\ [$€-C0A]_-;\-* #,##0\ [$€-C0A]_-;_-* "-"??\ [$€-C0A]_-;_-@_-</c:formatCode>
                <c:ptCount val="1"/>
                <c:pt idx="0">
                  <c:v>482400</c:v>
                </c:pt>
              </c:numCache>
            </c:numRef>
          </c:val>
        </c:ser>
        <c:ser>
          <c:idx val="4"/>
          <c:order val="4"/>
          <c:tx>
            <c:strRef>
              <c:f>EconomiaT38!$B$18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EconomiaT38!$C$18</c:f>
              <c:numCache>
                <c:formatCode>_-* #,##0\ [$€-C0A]_-;\-* #,##0\ [$€-C0A]_-;_-* "-"??\ [$€-C0A]_-;_-@_-</c:formatCode>
                <c:ptCount val="1"/>
                <c:pt idx="0">
                  <c:v>320000</c:v>
                </c:pt>
              </c:numCache>
            </c:numRef>
          </c:val>
        </c:ser>
        <c:ser>
          <c:idx val="5"/>
          <c:order val="5"/>
          <c:tx>
            <c:strRef>
              <c:f>EconomiaT38!$B$19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EconomiaT38!$C$19</c:f>
              <c:numCache>
                <c:formatCode>_-* #,##0\ [$€-C0A]_-;\-* #,##0\ [$€-C0A]_-;_-* "-"??\ [$€-C0A]_-;_-@_-</c:formatCode>
                <c:ptCount val="1"/>
                <c:pt idx="0">
                  <c:v>10199955</c:v>
                </c:pt>
              </c:numCache>
            </c:numRef>
          </c:val>
        </c:ser>
        <c:ser>
          <c:idx val="6"/>
          <c:order val="6"/>
          <c:tx>
            <c:strRef>
              <c:f>EconomiaT38!$B$20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EconomiaT38!$C$20</c:f>
              <c:numCache>
                <c:formatCode>_-* #,##0\ [$€-C0A]_-;\-* #,##0\ [$€-C0A]_-;_-* "-"??\ [$€-C0A]_-;_-@_-</c:formatCode>
                <c:ptCount val="1"/>
                <c:pt idx="0">
                  <c:v>761672</c:v>
                </c:pt>
              </c:numCache>
            </c:numRef>
          </c:val>
        </c:ser>
        <c:ser>
          <c:idx val="7"/>
          <c:order val="7"/>
          <c:tx>
            <c:strRef>
              <c:f>EconomiaT38!$B$21</c:f>
              <c:strCache>
                <c:ptCount val="1"/>
                <c:pt idx="0">
                  <c:v>Viajes+Venta</c:v>
                </c:pt>
              </c:strCache>
            </c:strRef>
          </c:tx>
          <c:invertIfNegative val="0"/>
          <c:val>
            <c:numRef>
              <c:f>EconomiaT38!$C$21</c:f>
              <c:numCache>
                <c:formatCode>_-* #,##0\ [$€-C0A]_-;\-* #,##0\ [$€-C0A]_-;_-* "-"??\ [$€-C0A]_-;_-@_-</c:formatCode>
                <c:ptCount val="1"/>
                <c:pt idx="0">
                  <c:v>86800</c:v>
                </c:pt>
              </c:numCache>
            </c:numRef>
          </c:val>
        </c:ser>
        <c:ser>
          <c:idx val="8"/>
          <c:order val="8"/>
          <c:tx>
            <c:strRef>
              <c:f>EconomiaT38!$B$22</c:f>
              <c:strCache>
                <c:ptCount val="1"/>
                <c:pt idx="0">
                  <c:v>Intereses</c:v>
                </c:pt>
              </c:strCache>
            </c:strRef>
          </c:tx>
          <c:invertIfNegative val="0"/>
          <c:val>
            <c:numRef>
              <c:f>EconomiaT38!$C$22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0812816"/>
        <c:axId val="290807328"/>
      </c:barChart>
      <c:catAx>
        <c:axId val="290812816"/>
        <c:scaling>
          <c:orientation val="minMax"/>
        </c:scaling>
        <c:delete val="0"/>
        <c:axPos val="b"/>
        <c:numFmt formatCode="General" sourceLinked="0"/>
        <c:majorTickMark val="out"/>
        <c:minorTickMark val="none"/>
        <c:tickLblPos val="nextTo"/>
        <c:crossAx val="290807328"/>
        <c:crosses val="autoZero"/>
        <c:auto val="1"/>
        <c:lblAlgn val="ctr"/>
        <c:lblOffset val="100"/>
        <c:noMultiLvlLbl val="0"/>
      </c:catAx>
      <c:valAx>
        <c:axId val="290807328"/>
        <c:scaling>
          <c:orientation val="minMax"/>
        </c:scaling>
        <c:delete val="0"/>
        <c:axPos val="l"/>
        <c:majorGridlines/>
        <c:numFmt formatCode="_-* #,##0\ [$€-C0A]_-;\-* #,##0\ [$€-C0A]_-;_-* &quot;-&quot;??\ [$€-C0A]_-;_-@_-" sourceLinked="1"/>
        <c:majorTickMark val="out"/>
        <c:minorTickMark val="none"/>
        <c:tickLblPos val="nextTo"/>
        <c:crossAx val="2908128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EconomiaT38!$C$6</c:f>
              <c:numCache>
                <c:formatCode>_-* #,##0\ [$€-C0A]_-;\-* #,##0\ [$€-C0A]_-;_-* "-"??\ [$€-C0A]_-;_-@_-</c:formatCode>
                <c:ptCount val="1"/>
                <c:pt idx="0">
                  <c:v>2339312</c:v>
                </c:pt>
              </c:numCache>
            </c:numRef>
          </c:val>
        </c:ser>
        <c:ser>
          <c:idx val="1"/>
          <c:order val="1"/>
          <c:tx>
            <c:strRef>
              <c:f>EconomiaT38!$B$7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EconomiaT38!$C$7</c:f>
              <c:numCache>
                <c:formatCode>_-* #,##0\ [$€-C0A]_-;\-* #,##0\ [$€-C0A]_-;_-* "-"??\ [$€-C0A]_-;_-@_-</c:formatCode>
                <c:ptCount val="1"/>
                <c:pt idx="0">
                  <c:v>1046265</c:v>
                </c:pt>
              </c:numCache>
            </c:numRef>
          </c:val>
        </c:ser>
        <c:ser>
          <c:idx val="2"/>
          <c:order val="2"/>
          <c:tx>
            <c:strRef>
              <c:f>EconomiaT38!$B$8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EconomiaT38!$C$8</c:f>
              <c:numCache>
                <c:formatCode>_-* #,##0\ [$€-C0A]_-;\-* #,##0\ [$€-C0A]_-;_-* "-"??\ [$€-C0A]_-;_-@_-</c:formatCode>
                <c:ptCount val="1"/>
                <c:pt idx="0">
                  <c:v>9537434</c:v>
                </c:pt>
              </c:numCache>
            </c:numRef>
          </c:val>
        </c:ser>
        <c:ser>
          <c:idx val="3"/>
          <c:order val="3"/>
          <c:tx>
            <c:strRef>
              <c:f>EconomiaT38!$B$9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EconomiaT38!$C$9</c:f>
              <c:numCache>
                <c:formatCode>_-* #,##0\ [$€-C0A]_-;\-* #,##0\ [$€-C0A]_-;_-* "-"??\ [$€-C0A]_-;_-@_-</c:formatCode>
                <c:ptCount val="1"/>
                <c:pt idx="0">
                  <c:v>885400</c:v>
                </c:pt>
              </c:numCache>
            </c:numRef>
          </c:val>
        </c:ser>
        <c:ser>
          <c:idx val="4"/>
          <c:order val="4"/>
          <c:tx>
            <c:strRef>
              <c:f>EconomiaT38!$B$10</c:f>
              <c:strCache>
                <c:ptCount val="1"/>
                <c:pt idx="0">
                  <c:v>Comisiones</c:v>
                </c:pt>
              </c:strCache>
            </c:strRef>
          </c:tx>
          <c:invertIfNegative val="0"/>
          <c:cat>
            <c:strRef>
              <c:f>EconomiaT38!$A$13</c:f>
              <c:strCache>
                <c:ptCount val="1"/>
                <c:pt idx="0">
                  <c:v>TOTAL INGRESOS</c:v>
                </c:pt>
              </c:strCache>
            </c:strRef>
          </c:cat>
          <c:val>
            <c:numRef>
              <c:f>EconomiaT38!$C$10</c:f>
              <c:numCache>
                <c:formatCode>_-* #,##0\ [$€-C0A]_-;\-* #,##0\ [$€-C0A]_-;_-* "-"??\ [$€-C0A]_-;_-@_-</c:formatCode>
                <c:ptCount val="1"/>
                <c:pt idx="0">
                  <c:v>56595</c:v>
                </c:pt>
              </c:numCache>
            </c:numRef>
          </c:val>
        </c:ser>
        <c:ser>
          <c:idx val="5"/>
          <c:order val="5"/>
          <c:tx>
            <c:strRef>
              <c:f>EconomiaT38!$B$11</c:f>
              <c:strCache>
                <c:ptCount val="1"/>
                <c:pt idx="0">
                  <c:v>Nuevos Socios</c:v>
                </c:pt>
              </c:strCache>
            </c:strRef>
          </c:tx>
          <c:invertIfNegative val="0"/>
          <c:cat>
            <c:strRef>
              <c:f>EconomiaT38!$A$13</c:f>
              <c:strCache>
                <c:ptCount val="1"/>
                <c:pt idx="0">
                  <c:v>TOTAL INGRESOS</c:v>
                </c:pt>
              </c:strCache>
            </c:strRef>
          </c:cat>
          <c:val>
            <c:numRef>
              <c:f>EconomiaT38!$C$11</c:f>
              <c:numCache>
                <c:formatCode>_-* #,##0\ [$€-C0A]_-;\-* #,##0\ [$€-C0A]_-;_-* "-"??\ [$€-C0A]_-;_-@_-</c:formatCode>
                <c:ptCount val="1"/>
                <c:pt idx="0">
                  <c:v>47371</c:v>
                </c:pt>
              </c:numCache>
            </c:numRef>
          </c:val>
        </c:ser>
        <c:ser>
          <c:idx val="6"/>
          <c:order val="6"/>
          <c:tx>
            <c:strRef>
              <c:f>EconomiaT38!$B$12</c:f>
              <c:strCache>
                <c:ptCount val="1"/>
                <c:pt idx="0">
                  <c:v>Premios</c:v>
                </c:pt>
              </c:strCache>
            </c:strRef>
          </c:tx>
          <c:invertIfNegative val="0"/>
          <c:cat>
            <c:strRef>
              <c:f>EconomiaT38!$A$13</c:f>
              <c:strCache>
                <c:ptCount val="1"/>
                <c:pt idx="0">
                  <c:v>TOTAL INGRESOS</c:v>
                </c:pt>
              </c:strCache>
            </c:strRef>
          </c:cat>
          <c:val>
            <c:numRef>
              <c:f>EconomiaT38!$C$12</c:f>
              <c:numCache>
                <c:formatCode>_-* #,##0\ [$€-C0A]_-;\-* #,##0\ [$€-C0A]_-;_-* "-"??\ [$€-C0A]_-;_-@_-</c:formatCode>
                <c:ptCount val="1"/>
                <c:pt idx="0">
                  <c:v>100000</c:v>
                </c:pt>
              </c:numCache>
            </c:numRef>
          </c:val>
        </c:ser>
        <c:dLbls>
          <c:showLegendKey val="0"/>
          <c:showVal val="0"/>
          <c:showCatName val="0"/>
          <c:showSerName val="0"/>
          <c:showPercent val="0"/>
          <c:showBubbleSize val="0"/>
        </c:dLbls>
        <c:gapWidth val="150"/>
        <c:overlap val="100"/>
        <c:axId val="290805760"/>
        <c:axId val="290813208"/>
      </c:barChart>
      <c:catAx>
        <c:axId val="290805760"/>
        <c:scaling>
          <c:orientation val="minMax"/>
        </c:scaling>
        <c:delete val="0"/>
        <c:axPos val="b"/>
        <c:numFmt formatCode="General" sourceLinked="0"/>
        <c:majorTickMark val="out"/>
        <c:minorTickMark val="none"/>
        <c:tickLblPos val="nextTo"/>
        <c:crossAx val="290813208"/>
        <c:crosses val="autoZero"/>
        <c:auto val="1"/>
        <c:lblAlgn val="ctr"/>
        <c:lblOffset val="100"/>
        <c:noMultiLvlLbl val="0"/>
      </c:catAx>
      <c:valAx>
        <c:axId val="290813208"/>
        <c:scaling>
          <c:orientation val="minMax"/>
        </c:scaling>
        <c:delete val="0"/>
        <c:axPos val="l"/>
        <c:majorGridlines/>
        <c:numFmt formatCode="_-* #,##0\ [$€-C0A]_-;\-* #,##0\ [$€-C0A]_-;_-* &quot;-&quot;??\ [$€-C0A]_-;_-@_-" sourceLinked="1"/>
        <c:majorTickMark val="out"/>
        <c:minorTickMark val="none"/>
        <c:tickLblPos val="nextTo"/>
        <c:crossAx val="2908057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EconomiaT38!$C$14</c:f>
              <c:numCache>
                <c:formatCode>_-* #,##0\ [$€-C0A]_-;\-* #,##0\ [$€-C0A]_-;_-* "-"??\ [$€-C0A]_-;_-@_-</c:formatCode>
                <c:ptCount val="1"/>
                <c:pt idx="0">
                  <c:v>1037788</c:v>
                </c:pt>
              </c:numCache>
            </c:numRef>
          </c:val>
        </c:ser>
        <c:ser>
          <c:idx val="1"/>
          <c:order val="1"/>
          <c:tx>
            <c:strRef>
              <c:f>EconomiaT38!$B$15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EconomiaT38!$C$15</c:f>
              <c:numCache>
                <c:formatCode>_-* #,##0\ [$€-C0A]_-;\-* #,##0\ [$€-C0A]_-;_-* "-"??\ [$€-C0A]_-;_-@_-</c:formatCode>
                <c:ptCount val="1"/>
                <c:pt idx="0">
                  <c:v>303797</c:v>
                </c:pt>
              </c:numCache>
            </c:numRef>
          </c:val>
        </c:ser>
        <c:ser>
          <c:idx val="2"/>
          <c:order val="2"/>
          <c:tx>
            <c:strRef>
              <c:f>EconomiaT38!$B$16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EconomiaT38!$C$16</c:f>
              <c:numCache>
                <c:formatCode>_-* #,##0\ [$€-C0A]_-;\-* #,##0\ [$€-C0A]_-;_-* "-"??\ [$€-C0A]_-;_-@_-</c:formatCode>
                <c:ptCount val="1"/>
                <c:pt idx="0">
                  <c:v>417340</c:v>
                </c:pt>
              </c:numCache>
            </c:numRef>
          </c:val>
        </c:ser>
        <c:ser>
          <c:idx val="3"/>
          <c:order val="3"/>
          <c:tx>
            <c:strRef>
              <c:f>EconomiaT38!$B$17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EconomiaT38!$C$17</c:f>
              <c:numCache>
                <c:formatCode>_-* #,##0\ [$€-C0A]_-;\-* #,##0\ [$€-C0A]_-;_-* "-"??\ [$€-C0A]_-;_-@_-</c:formatCode>
                <c:ptCount val="1"/>
                <c:pt idx="0">
                  <c:v>482400</c:v>
                </c:pt>
              </c:numCache>
            </c:numRef>
          </c:val>
        </c:ser>
        <c:ser>
          <c:idx val="4"/>
          <c:order val="4"/>
          <c:tx>
            <c:strRef>
              <c:f>EconomiaT38!$B$18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EconomiaT38!$C$18</c:f>
              <c:numCache>
                <c:formatCode>_-* #,##0\ [$€-C0A]_-;\-* #,##0\ [$€-C0A]_-;_-* "-"??\ [$€-C0A]_-;_-@_-</c:formatCode>
                <c:ptCount val="1"/>
                <c:pt idx="0">
                  <c:v>320000</c:v>
                </c:pt>
              </c:numCache>
            </c:numRef>
          </c:val>
        </c:ser>
        <c:ser>
          <c:idx val="5"/>
          <c:order val="5"/>
          <c:tx>
            <c:strRef>
              <c:f>EconomiaT38!$B$19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EconomiaT38!$C$19</c:f>
              <c:numCache>
                <c:formatCode>_-* #,##0\ [$€-C0A]_-;\-* #,##0\ [$€-C0A]_-;_-* "-"??\ [$€-C0A]_-;_-@_-</c:formatCode>
                <c:ptCount val="1"/>
                <c:pt idx="0">
                  <c:v>10199955</c:v>
                </c:pt>
              </c:numCache>
            </c:numRef>
          </c:val>
        </c:ser>
        <c:ser>
          <c:idx val="6"/>
          <c:order val="6"/>
          <c:tx>
            <c:strRef>
              <c:f>EconomiaT38!$B$20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EconomiaT38!$C$20</c:f>
              <c:numCache>
                <c:formatCode>_-* #,##0\ [$€-C0A]_-;\-* #,##0\ [$€-C0A]_-;_-* "-"??\ [$€-C0A]_-;_-@_-</c:formatCode>
                <c:ptCount val="1"/>
                <c:pt idx="0">
                  <c:v>761672</c:v>
                </c:pt>
              </c:numCache>
            </c:numRef>
          </c:val>
        </c:ser>
        <c:ser>
          <c:idx val="7"/>
          <c:order val="7"/>
          <c:tx>
            <c:strRef>
              <c:f>EconomiaT38!$B$21</c:f>
              <c:strCache>
                <c:ptCount val="1"/>
                <c:pt idx="0">
                  <c:v>Viajes+Venta</c:v>
                </c:pt>
              </c:strCache>
            </c:strRef>
          </c:tx>
          <c:invertIfNegative val="0"/>
          <c:val>
            <c:numRef>
              <c:f>EconomiaT38!$C$21</c:f>
              <c:numCache>
                <c:formatCode>_-* #,##0\ [$€-C0A]_-;\-* #,##0\ [$€-C0A]_-;_-* "-"??\ [$€-C0A]_-;_-@_-</c:formatCode>
                <c:ptCount val="1"/>
                <c:pt idx="0">
                  <c:v>86800</c:v>
                </c:pt>
              </c:numCache>
            </c:numRef>
          </c:val>
        </c:ser>
        <c:ser>
          <c:idx val="8"/>
          <c:order val="8"/>
          <c:tx>
            <c:strRef>
              <c:f>EconomiaT38!$B$22</c:f>
              <c:strCache>
                <c:ptCount val="1"/>
                <c:pt idx="0">
                  <c:v>Intereses</c:v>
                </c:pt>
              </c:strCache>
            </c:strRef>
          </c:tx>
          <c:invertIfNegative val="0"/>
          <c:val>
            <c:numRef>
              <c:f>EconomiaT38!$C$22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0807720"/>
        <c:axId val="290808112"/>
      </c:barChart>
      <c:catAx>
        <c:axId val="290807720"/>
        <c:scaling>
          <c:orientation val="minMax"/>
        </c:scaling>
        <c:delete val="0"/>
        <c:axPos val="b"/>
        <c:numFmt formatCode="General" sourceLinked="0"/>
        <c:majorTickMark val="out"/>
        <c:minorTickMark val="none"/>
        <c:tickLblPos val="nextTo"/>
        <c:crossAx val="290808112"/>
        <c:crosses val="autoZero"/>
        <c:auto val="1"/>
        <c:lblAlgn val="ctr"/>
        <c:lblOffset val="100"/>
        <c:noMultiLvlLbl val="0"/>
      </c:catAx>
      <c:valAx>
        <c:axId val="290808112"/>
        <c:scaling>
          <c:orientation val="minMax"/>
        </c:scaling>
        <c:delete val="0"/>
        <c:axPos val="l"/>
        <c:majorGridlines/>
        <c:numFmt formatCode="_-* #,##0\ [$€-C0A]_-;\-* #,##0\ [$€-C0A]_-;_-* &quot;-&quot;??\ [$€-C0A]_-;_-@_-" sourceLinked="1"/>
        <c:majorTickMark val="out"/>
        <c:minorTickMark val="none"/>
        <c:tickLblPos val="nextTo"/>
        <c:crossAx val="2908077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 inicial PAT</c:v>
          </c:tx>
          <c:marker>
            <c:symbol val="none"/>
          </c:marker>
          <c:cat>
            <c:strRef>
              <c:f>Aficion_Patro!$A$2:$A$49</c:f>
              <c:strCache>
                <c:ptCount val="48"/>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pt idx="18">
                  <c:v>S19</c:v>
                </c:pt>
                <c:pt idx="19">
                  <c:v>S20</c:v>
                </c:pt>
                <c:pt idx="20">
                  <c:v>S21</c:v>
                </c:pt>
                <c:pt idx="21">
                  <c:v>S22</c:v>
                </c:pt>
                <c:pt idx="22">
                  <c:v>S23</c:v>
                </c:pt>
                <c:pt idx="23">
                  <c:v>S24</c:v>
                </c:pt>
                <c:pt idx="24">
                  <c:v>S25</c:v>
                </c:pt>
                <c:pt idx="25">
                  <c:v>S26</c:v>
                </c:pt>
                <c:pt idx="26">
                  <c:v>S27</c:v>
                </c:pt>
                <c:pt idx="27">
                  <c:v>S28</c:v>
                </c:pt>
                <c:pt idx="28">
                  <c:v>S29</c:v>
                </c:pt>
                <c:pt idx="29">
                  <c:v>S30</c:v>
                </c:pt>
                <c:pt idx="30">
                  <c:v>S31</c:v>
                </c:pt>
                <c:pt idx="31">
                  <c:v>S32</c:v>
                </c:pt>
                <c:pt idx="32">
                  <c:v>S33</c:v>
                </c:pt>
                <c:pt idx="33">
                  <c:v>S34</c:v>
                </c:pt>
                <c:pt idx="34">
                  <c:v>S35</c:v>
                </c:pt>
                <c:pt idx="35">
                  <c:v>S36</c:v>
                </c:pt>
                <c:pt idx="36">
                  <c:v>S37</c:v>
                </c:pt>
                <c:pt idx="37">
                  <c:v>S38</c:v>
                </c:pt>
                <c:pt idx="38">
                  <c:v>S39</c:v>
                </c:pt>
                <c:pt idx="39">
                  <c:v>S40</c:v>
                </c:pt>
                <c:pt idx="40">
                  <c:v>S41</c:v>
                </c:pt>
                <c:pt idx="41">
                  <c:v>S42</c:v>
                </c:pt>
                <c:pt idx="42">
                  <c:v>S43</c:v>
                </c:pt>
                <c:pt idx="43">
                  <c:v>S44</c:v>
                </c:pt>
                <c:pt idx="44">
                  <c:v>S45</c:v>
                </c:pt>
                <c:pt idx="45">
                  <c:v>S46</c:v>
                </c:pt>
                <c:pt idx="46">
                  <c:v>S47</c:v>
                </c:pt>
                <c:pt idx="47">
                  <c:v>S48</c:v>
                </c:pt>
              </c:strCache>
            </c:strRef>
          </c:cat>
          <c:val>
            <c:numRef>
              <c:f>Aficion_Patro!$D$2:$D$178</c:f>
              <c:numCache>
                <c:formatCode>0.0%</c:formatCode>
                <c:ptCount val="177"/>
                <c:pt idx="0" formatCode="General">
                  <c:v>0</c:v>
                </c:pt>
                <c:pt idx="1">
                  <c:v>6.2192914403930696E-2</c:v>
                </c:pt>
                <c:pt idx="2">
                  <c:v>0.1004654771140419</c:v>
                </c:pt>
                <c:pt idx="3">
                  <c:v>0.12438582880786139</c:v>
                </c:pt>
                <c:pt idx="4">
                  <c:v>0.14352211016291699</c:v>
                </c:pt>
                <c:pt idx="5">
                  <c:v>0.16265839151797259</c:v>
                </c:pt>
                <c:pt idx="6">
                  <c:v>0.17701060253426429</c:v>
                </c:pt>
                <c:pt idx="7">
                  <c:v>0.19136281355055598</c:v>
                </c:pt>
                <c:pt idx="8">
                  <c:v>0.2009309542280838</c:v>
                </c:pt>
                <c:pt idx="9">
                  <c:v>0.21528316524437549</c:v>
                </c:pt>
                <c:pt idx="10">
                  <c:v>0.22485130592190328</c:v>
                </c:pt>
                <c:pt idx="11">
                  <c:v>0.23920351693819497</c:v>
                </c:pt>
                <c:pt idx="12">
                  <c:v>0.24877165761572279</c:v>
                </c:pt>
                <c:pt idx="13">
                  <c:v>0.26312386863201448</c:v>
                </c:pt>
                <c:pt idx="14">
                  <c:v>0.27269200930954229</c:v>
                </c:pt>
                <c:pt idx="15">
                  <c:v>0.28044996121024052</c:v>
                </c:pt>
                <c:pt idx="16">
                  <c:v>0</c:v>
                </c:pt>
                <c:pt idx="17">
                  <c:v>8.6604957974252578E-2</c:v>
                </c:pt>
                <c:pt idx="18">
                  <c:v>0.14565379295669753</c:v>
                </c:pt>
                <c:pt idx="19">
                  <c:v>0.17714650494733483</c:v>
                </c:pt>
                <c:pt idx="20">
                  <c:v>0.20470262793914246</c:v>
                </c:pt>
                <c:pt idx="21">
                  <c:v>0.22438557293329078</c:v>
                </c:pt>
                <c:pt idx="22">
                  <c:v>0.23619533992977976</c:v>
                </c:pt>
                <c:pt idx="23">
                  <c:v>0.24800510692626876</c:v>
                </c:pt>
                <c:pt idx="24">
                  <c:v>0.25864453665283543</c:v>
                </c:pt>
                <c:pt idx="25">
                  <c:v>0.27162464091924671</c:v>
                </c:pt>
                <c:pt idx="26">
                  <c:v>0.27949781891690606</c:v>
                </c:pt>
                <c:pt idx="27">
                  <c:v>0.29130758591339506</c:v>
                </c:pt>
                <c:pt idx="28">
                  <c:v>0.29918076391105436</c:v>
                </c:pt>
                <c:pt idx="29">
                  <c:v>0.31099053090754336</c:v>
                </c:pt>
                <c:pt idx="30">
                  <c:v>0.31886370890520266</c:v>
                </c:pt>
                <c:pt idx="31">
                  <c:v>0.33067347590169166</c:v>
                </c:pt>
                <c:pt idx="32">
                  <c:v>0</c:v>
                </c:pt>
                <c:pt idx="33">
                  <c:v>0.10525317655983311</c:v>
                </c:pt>
                <c:pt idx="34">
                  <c:v>0.16840508249573297</c:v>
                </c:pt>
                <c:pt idx="35">
                  <c:v>0.20699791390100511</c:v>
                </c:pt>
                <c:pt idx="36">
                  <c:v>0.22804854921297174</c:v>
                </c:pt>
                <c:pt idx="37">
                  <c:v>0.24559074530627725</c:v>
                </c:pt>
                <c:pt idx="38">
                  <c:v>0.2596245021809217</c:v>
                </c:pt>
                <c:pt idx="39">
                  <c:v>0.26664138061824388</c:v>
                </c:pt>
                <c:pt idx="40">
                  <c:v>0.27365825905556607</c:v>
                </c:pt>
                <c:pt idx="41">
                  <c:v>0.2806751374928883</c:v>
                </c:pt>
                <c:pt idx="42">
                  <c:v>0.28769201593021049</c:v>
                </c:pt>
                <c:pt idx="43">
                  <c:v>0.29470889436753273</c:v>
                </c:pt>
                <c:pt idx="44">
                  <c:v>0.30191541816802581</c:v>
                </c:pt>
                <c:pt idx="45">
                  <c:v>0.30874265124217715</c:v>
                </c:pt>
                <c:pt idx="46">
                  <c:v>0.31575952967949933</c:v>
                </c:pt>
                <c:pt idx="47">
                  <c:v>0.29821733358619384</c:v>
                </c:pt>
                <c:pt idx="48">
                  <c:v>0</c:v>
                </c:pt>
                <c:pt idx="49">
                  <c:v>0.1249899461111558</c:v>
                </c:pt>
                <c:pt idx="50">
                  <c:v>0.20534062575404166</c:v>
                </c:pt>
                <c:pt idx="51">
                  <c:v>0.24997989222231159</c:v>
                </c:pt>
                <c:pt idx="52">
                  <c:v>0.27676345210327352</c:v>
                </c:pt>
                <c:pt idx="53">
                  <c:v>0.29461915869058153</c:v>
                </c:pt>
                <c:pt idx="54">
                  <c:v>0.3094989141800048</c:v>
                </c:pt>
                <c:pt idx="55">
                  <c:v>0.31842676747365883</c:v>
                </c:pt>
                <c:pt idx="56">
                  <c:v>0.32735462076731281</c:v>
                </c:pt>
                <c:pt idx="57">
                  <c:v>0.33628247406096679</c:v>
                </c:pt>
                <c:pt idx="58">
                  <c:v>0.34223437625673608</c:v>
                </c:pt>
                <c:pt idx="59">
                  <c:v>0.35116222955039011</c:v>
                </c:pt>
                <c:pt idx="60">
                  <c:v>0.35711413174615941</c:v>
                </c:pt>
                <c:pt idx="61">
                  <c:v>0.36009008284404409</c:v>
                </c:pt>
                <c:pt idx="62">
                  <c:v>0.36901793613769807</c:v>
                </c:pt>
                <c:pt idx="63">
                  <c:v>0.37199388723558274</c:v>
                </c:pt>
                <c:pt idx="64">
                  <c:v>0</c:v>
                </c:pt>
                <c:pt idx="65">
                  <c:v>0.14712225367300175</c:v>
                </c:pt>
                <c:pt idx="66">
                  <c:v>0.23938536190861301</c:v>
                </c:pt>
                <c:pt idx="67">
                  <c:v>0.28925731230624074</c:v>
                </c:pt>
                <c:pt idx="68">
                  <c:v>0.3216066855371344</c:v>
                </c:pt>
                <c:pt idx="69">
                  <c:v>0.33912926270386845</c:v>
                </c:pt>
                <c:pt idx="70">
                  <c:v>0.34661005526351263</c:v>
                </c:pt>
                <c:pt idx="71">
                  <c:v>0.349103652783394</c:v>
                </c:pt>
                <c:pt idx="72">
                  <c:v>0.35159725030327538</c:v>
                </c:pt>
                <c:pt idx="73">
                  <c:v>0.35658444534303813</c:v>
                </c:pt>
                <c:pt idx="74">
                  <c:v>0.35658444534303813</c:v>
                </c:pt>
                <c:pt idx="75">
                  <c:v>0.36157164038280093</c:v>
                </c:pt>
                <c:pt idx="76">
                  <c:v>0.36905243294244505</c:v>
                </c:pt>
                <c:pt idx="77">
                  <c:v>0.37653322550208923</c:v>
                </c:pt>
                <c:pt idx="78">
                  <c:v>0.38152042054185198</c:v>
                </c:pt>
                <c:pt idx="79">
                  <c:v>0.38900121310149616</c:v>
                </c:pt>
                <c:pt idx="80">
                  <c:v>0</c:v>
                </c:pt>
                <c:pt idx="81">
                  <c:v>5.0124638664903388E-2</c:v>
                </c:pt>
                <c:pt idx="82">
                  <c:v>0.13023277587276325</c:v>
                </c:pt>
                <c:pt idx="83">
                  <c:v>0.17569955645019719</c:v>
                </c:pt>
                <c:pt idx="84">
                  <c:v>0.20384565871241822</c:v>
                </c:pt>
                <c:pt idx="85">
                  <c:v>0.21900125223822955</c:v>
                </c:pt>
                <c:pt idx="86">
                  <c:v>0.22982667618523764</c:v>
                </c:pt>
                <c:pt idx="87">
                  <c:v>0.23632193055344247</c:v>
                </c:pt>
                <c:pt idx="88">
                  <c:v>0.24281718492164733</c:v>
                </c:pt>
                <c:pt idx="89">
                  <c:v>0.24931243928985219</c:v>
                </c:pt>
                <c:pt idx="90">
                  <c:v>0.25147752407925383</c:v>
                </c:pt>
                <c:pt idx="91">
                  <c:v>0.25364260886865542</c:v>
                </c:pt>
                <c:pt idx="92">
                  <c:v>0.25797277844745864</c:v>
                </c:pt>
                <c:pt idx="93">
                  <c:v>0.25797277844745864</c:v>
                </c:pt>
                <c:pt idx="94">
                  <c:v>0.26013786323686028</c:v>
                </c:pt>
                <c:pt idx="95">
                  <c:v>0.25797277844745864</c:v>
                </c:pt>
                <c:pt idx="96">
                  <c:v>0</c:v>
                </c:pt>
                <c:pt idx="97">
                  <c:v>8.6506831345482427E-2</c:v>
                </c:pt>
                <c:pt idx="98">
                  <c:v>0.17611148110028052</c:v>
                </c:pt>
                <c:pt idx="99">
                  <c:v>0.22464733305079615</c:v>
                </c:pt>
                <c:pt idx="100">
                  <c:v>0.24891525902605396</c:v>
                </c:pt>
                <c:pt idx="101">
                  <c:v>0.26571613085507861</c:v>
                </c:pt>
                <c:pt idx="102">
                  <c:v>0.27318318500131178</c:v>
                </c:pt>
                <c:pt idx="103">
                  <c:v>0.28251700268410324</c:v>
                </c:pt>
                <c:pt idx="104">
                  <c:v>0.28811729329377811</c:v>
                </c:pt>
                <c:pt idx="105">
                  <c:v>0.29164900809267219</c:v>
                </c:pt>
                <c:pt idx="106">
                  <c:v>0.29558434744001127</c:v>
                </c:pt>
                <c:pt idx="107">
                  <c:v>0.3011846380496862</c:v>
                </c:pt>
                <c:pt idx="108">
                  <c:v>0.30491816512280279</c:v>
                </c:pt>
                <c:pt idx="109">
                  <c:v>0.30865169219591937</c:v>
                </c:pt>
                <c:pt idx="110">
                  <c:v>0.31238521926903595</c:v>
                </c:pt>
                <c:pt idx="111">
                  <c:v>0.31611874634215253</c:v>
                </c:pt>
                <c:pt idx="112">
                  <c:v>0</c:v>
                </c:pt>
                <c:pt idx="113">
                  <c:v>0.13511765012782387</c:v>
                </c:pt>
                <c:pt idx="114">
                  <c:v>0.21620493556633796</c:v>
                </c:pt>
                <c:pt idx="115">
                  <c:v>0.26253456461626756</c:v>
                </c:pt>
                <c:pt idx="116">
                  <c:v>0.28956018156205982</c:v>
                </c:pt>
                <c:pt idx="117">
                  <c:v>0.30500339124536963</c:v>
                </c:pt>
                <c:pt idx="118">
                  <c:v>0.3146553972974383</c:v>
                </c:pt>
                <c:pt idx="119">
                  <c:v>0.32044660092867949</c:v>
                </c:pt>
                <c:pt idx="120">
                  <c:v>0.32430740334950697</c:v>
                </c:pt>
                <c:pt idx="121">
                  <c:v>0.32816820577033445</c:v>
                </c:pt>
                <c:pt idx="122">
                  <c:v>0.33202900819116188</c:v>
                </c:pt>
                <c:pt idx="123">
                  <c:v>0.33395940940157565</c:v>
                </c:pt>
                <c:pt idx="124">
                  <c:v>0.33588981061198936</c:v>
                </c:pt>
                <c:pt idx="125">
                  <c:v>0.33588981061198936</c:v>
                </c:pt>
                <c:pt idx="126">
                  <c:v>0.33588981061198936</c:v>
                </c:pt>
                <c:pt idx="127">
                  <c:v>0.33782021182240307</c:v>
                </c:pt>
                <c:pt idx="128">
                  <c:v>0</c:v>
                </c:pt>
                <c:pt idx="129">
                  <c:v>0.15174299384825701</c:v>
                </c:pt>
                <c:pt idx="130">
                  <c:v>0.1777695988222304</c:v>
                </c:pt>
                <c:pt idx="131">
                  <c:v>0.2408643987591356</c:v>
                </c:pt>
                <c:pt idx="132">
                  <c:v>0.32683106367316894</c:v>
                </c:pt>
                <c:pt idx="133">
                  <c:v>0.34433987065566013</c:v>
                </c:pt>
                <c:pt idx="134">
                  <c:v>0.35406698564593303</c:v>
                </c:pt>
                <c:pt idx="135">
                  <c:v>0.35990325464009676</c:v>
                </c:pt>
                <c:pt idx="136">
                  <c:v>0.36379410063620587</c:v>
                </c:pt>
                <c:pt idx="137">
                  <c:v>0.36768494663231505</c:v>
                </c:pt>
                <c:pt idx="138">
                  <c:v>0.37157579262842422</c:v>
                </c:pt>
                <c:pt idx="139">
                  <c:v>0.37352121562647878</c:v>
                </c:pt>
                <c:pt idx="140">
                  <c:v>0.37546663862453339</c:v>
                </c:pt>
                <c:pt idx="141">
                  <c:v>0.37741206162258795</c:v>
                </c:pt>
                <c:pt idx="142">
                  <c:v>0.3793574846206425</c:v>
                </c:pt>
                <c:pt idx="143">
                  <c:v>0.38324833061675168</c:v>
                </c:pt>
                <c:pt idx="144">
                  <c:v>0</c:v>
                </c:pt>
                <c:pt idx="145">
                  <c:v>0.16149369544131911</c:v>
                </c:pt>
                <c:pt idx="146">
                  <c:v>0.25936866237545192</c:v>
                </c:pt>
                <c:pt idx="147">
                  <c:v>0.31483114363812714</c:v>
                </c:pt>
                <c:pt idx="148">
                  <c:v>0.35790494665373423</c:v>
                </c:pt>
                <c:pt idx="149">
                  <c:v>0.36672251124239486</c:v>
                </c:pt>
                <c:pt idx="150">
                  <c:v>0.37518737324750906</c:v>
                </c:pt>
                <c:pt idx="151">
                  <c:v>0.37844987214531345</c:v>
                </c:pt>
                <c:pt idx="152">
                  <c:v>0.38171237104311789</c:v>
                </c:pt>
                <c:pt idx="153">
                  <c:v>0.38497486994092234</c:v>
                </c:pt>
                <c:pt idx="154">
                  <c:v>0.38660611938982453</c:v>
                </c:pt>
                <c:pt idx="155">
                  <c:v>0.38986861828762898</c:v>
                </c:pt>
                <c:pt idx="156">
                  <c:v>0.39149986773653117</c:v>
                </c:pt>
                <c:pt idx="157">
                  <c:v>0.25610616347764747</c:v>
                </c:pt>
                <c:pt idx="158">
                  <c:v>0.18269993827704789</c:v>
                </c:pt>
                <c:pt idx="159">
                  <c:v>0.14191870205449256</c:v>
                </c:pt>
                <c:pt idx="160">
                  <c:v>0</c:v>
                </c:pt>
                <c:pt idx="161">
                  <c:v>8.2085413200221849E-2</c:v>
                </c:pt>
                <c:pt idx="162">
                  <c:v>0.13805274038219129</c:v>
                </c:pt>
                <c:pt idx="163">
                  <c:v>0.1753642918368376</c:v>
                </c:pt>
                <c:pt idx="164">
                  <c:v>0.20148237785508999</c:v>
                </c:pt>
                <c:pt idx="165">
                  <c:v>0.21640699843694852</c:v>
                </c:pt>
                <c:pt idx="166">
                  <c:v>0.2276004638733424</c:v>
                </c:pt>
                <c:pt idx="167">
                  <c:v>0.23319719659153934</c:v>
                </c:pt>
                <c:pt idx="168">
                  <c:v>0.23692835173700399</c:v>
                </c:pt>
                <c:pt idx="169">
                  <c:v>0.24065950688246862</c:v>
                </c:pt>
                <c:pt idx="170">
                  <c:v>0.24065950688246862</c:v>
                </c:pt>
                <c:pt idx="171">
                  <c:v>0.24252508445520093</c:v>
                </c:pt>
                <c:pt idx="172">
                  <c:v>0.24438676909370069</c:v>
                </c:pt>
                <c:pt idx="173">
                  <c:v>0.24438676909370069</c:v>
                </c:pt>
                <c:pt idx="174">
                  <c:v>0.24252508445520093</c:v>
                </c:pt>
                <c:pt idx="175">
                  <c:v>0.23879392930973631</c:v>
                </c:pt>
                <c:pt idx="176">
                  <c:v>0</c:v>
                </c:pt>
              </c:numCache>
            </c:numRef>
          </c:val>
          <c:smooth val="0"/>
        </c:ser>
        <c:dLbls>
          <c:showLegendKey val="0"/>
          <c:showVal val="0"/>
          <c:showCatName val="0"/>
          <c:showSerName val="0"/>
          <c:showPercent val="0"/>
          <c:showBubbleSize val="0"/>
        </c:dLbls>
        <c:marker val="1"/>
        <c:smooth val="0"/>
        <c:axId val="285009144"/>
        <c:axId val="285007184"/>
      </c:lineChart>
      <c:lineChart>
        <c:grouping val="standard"/>
        <c:varyColors val="0"/>
        <c:ser>
          <c:idx val="1"/>
          <c:order val="1"/>
          <c:tx>
            <c:v>% semanal</c:v>
          </c:tx>
          <c:marker>
            <c:symbol val="none"/>
          </c:marker>
          <c:cat>
            <c:strRef>
              <c:f>Aficion_Patro!$A$3:$A$178</c:f>
              <c:strCache>
                <c:ptCount val="176"/>
                <c:pt idx="0">
                  <c:v>S2</c:v>
                </c:pt>
                <c:pt idx="1">
                  <c:v>S3</c:v>
                </c:pt>
                <c:pt idx="2">
                  <c:v>S4</c:v>
                </c:pt>
                <c:pt idx="3">
                  <c:v>S5</c:v>
                </c:pt>
                <c:pt idx="4">
                  <c:v>S6</c:v>
                </c:pt>
                <c:pt idx="5">
                  <c:v>S7</c:v>
                </c:pt>
                <c:pt idx="6">
                  <c:v>S8</c:v>
                </c:pt>
                <c:pt idx="7">
                  <c:v>S9</c:v>
                </c:pt>
                <c:pt idx="8">
                  <c:v>S10</c:v>
                </c:pt>
                <c:pt idx="9">
                  <c:v>S11</c:v>
                </c:pt>
                <c:pt idx="10">
                  <c:v>S12</c:v>
                </c:pt>
                <c:pt idx="11">
                  <c:v>S13</c:v>
                </c:pt>
                <c:pt idx="12">
                  <c:v>S14</c:v>
                </c:pt>
                <c:pt idx="13">
                  <c:v>S15</c:v>
                </c:pt>
                <c:pt idx="14">
                  <c:v>S16</c:v>
                </c:pt>
                <c:pt idx="15">
                  <c:v>S17</c:v>
                </c:pt>
                <c:pt idx="16">
                  <c:v>S18</c:v>
                </c:pt>
                <c:pt idx="17">
                  <c:v>S19</c:v>
                </c:pt>
                <c:pt idx="18">
                  <c:v>S20</c:v>
                </c:pt>
                <c:pt idx="19">
                  <c:v>S21</c:v>
                </c:pt>
                <c:pt idx="20">
                  <c:v>S22</c:v>
                </c:pt>
                <c:pt idx="21">
                  <c:v>S23</c:v>
                </c:pt>
                <c:pt idx="22">
                  <c:v>S24</c:v>
                </c:pt>
                <c:pt idx="23">
                  <c:v>S25</c:v>
                </c:pt>
                <c:pt idx="24">
                  <c:v>S26</c:v>
                </c:pt>
                <c:pt idx="25">
                  <c:v>S27</c:v>
                </c:pt>
                <c:pt idx="26">
                  <c:v>S28</c:v>
                </c:pt>
                <c:pt idx="27">
                  <c:v>S29</c:v>
                </c:pt>
                <c:pt idx="28">
                  <c:v>S30</c:v>
                </c:pt>
                <c:pt idx="29">
                  <c:v>S31</c:v>
                </c:pt>
                <c:pt idx="30">
                  <c:v>S32</c:v>
                </c:pt>
                <c:pt idx="31">
                  <c:v>S33</c:v>
                </c:pt>
                <c:pt idx="32">
                  <c:v>S34</c:v>
                </c:pt>
                <c:pt idx="33">
                  <c:v>S35</c:v>
                </c:pt>
                <c:pt idx="34">
                  <c:v>S36</c:v>
                </c:pt>
                <c:pt idx="35">
                  <c:v>S37</c:v>
                </c:pt>
                <c:pt idx="36">
                  <c:v>S38</c:v>
                </c:pt>
                <c:pt idx="37">
                  <c:v>S39</c:v>
                </c:pt>
                <c:pt idx="38">
                  <c:v>S40</c:v>
                </c:pt>
                <c:pt idx="39">
                  <c:v>S41</c:v>
                </c:pt>
                <c:pt idx="40">
                  <c:v>S42</c:v>
                </c:pt>
                <c:pt idx="41">
                  <c:v>S43</c:v>
                </c:pt>
                <c:pt idx="42">
                  <c:v>S44</c:v>
                </c:pt>
                <c:pt idx="43">
                  <c:v>S45</c:v>
                </c:pt>
                <c:pt idx="44">
                  <c:v>S46</c:v>
                </c:pt>
                <c:pt idx="45">
                  <c:v>S47</c:v>
                </c:pt>
                <c:pt idx="46">
                  <c:v>S48</c:v>
                </c:pt>
                <c:pt idx="47">
                  <c:v>S49</c:v>
                </c:pt>
                <c:pt idx="48">
                  <c:v>S50</c:v>
                </c:pt>
                <c:pt idx="49">
                  <c:v>S51</c:v>
                </c:pt>
                <c:pt idx="50">
                  <c:v>S52</c:v>
                </c:pt>
                <c:pt idx="51">
                  <c:v>S53</c:v>
                </c:pt>
                <c:pt idx="52">
                  <c:v>S54</c:v>
                </c:pt>
                <c:pt idx="53">
                  <c:v>S55</c:v>
                </c:pt>
                <c:pt idx="54">
                  <c:v>S56</c:v>
                </c:pt>
                <c:pt idx="55">
                  <c:v>S57</c:v>
                </c:pt>
                <c:pt idx="56">
                  <c:v>S58</c:v>
                </c:pt>
                <c:pt idx="57">
                  <c:v>S59</c:v>
                </c:pt>
                <c:pt idx="58">
                  <c:v>S60</c:v>
                </c:pt>
                <c:pt idx="59">
                  <c:v>S61</c:v>
                </c:pt>
                <c:pt idx="60">
                  <c:v>S62</c:v>
                </c:pt>
                <c:pt idx="61">
                  <c:v>S63</c:v>
                </c:pt>
                <c:pt idx="62">
                  <c:v>S64</c:v>
                </c:pt>
                <c:pt idx="63">
                  <c:v>S65</c:v>
                </c:pt>
                <c:pt idx="64">
                  <c:v>S66</c:v>
                </c:pt>
                <c:pt idx="65">
                  <c:v>S67</c:v>
                </c:pt>
                <c:pt idx="66">
                  <c:v>S68</c:v>
                </c:pt>
                <c:pt idx="67">
                  <c:v>S69</c:v>
                </c:pt>
                <c:pt idx="68">
                  <c:v>S70</c:v>
                </c:pt>
                <c:pt idx="69">
                  <c:v>S71</c:v>
                </c:pt>
                <c:pt idx="70">
                  <c:v>S72</c:v>
                </c:pt>
                <c:pt idx="71">
                  <c:v>S73</c:v>
                </c:pt>
                <c:pt idx="72">
                  <c:v>S74</c:v>
                </c:pt>
                <c:pt idx="73">
                  <c:v>S75</c:v>
                </c:pt>
                <c:pt idx="74">
                  <c:v>S76</c:v>
                </c:pt>
                <c:pt idx="75">
                  <c:v>S77</c:v>
                </c:pt>
                <c:pt idx="76">
                  <c:v>S78</c:v>
                </c:pt>
                <c:pt idx="77">
                  <c:v>S79</c:v>
                </c:pt>
                <c:pt idx="78">
                  <c:v>S80</c:v>
                </c:pt>
                <c:pt idx="79">
                  <c:v>S81</c:v>
                </c:pt>
                <c:pt idx="80">
                  <c:v>S82</c:v>
                </c:pt>
                <c:pt idx="81">
                  <c:v>S83</c:v>
                </c:pt>
                <c:pt idx="82">
                  <c:v>S84</c:v>
                </c:pt>
                <c:pt idx="83">
                  <c:v>S85</c:v>
                </c:pt>
                <c:pt idx="84">
                  <c:v>S86</c:v>
                </c:pt>
                <c:pt idx="85">
                  <c:v>S87</c:v>
                </c:pt>
                <c:pt idx="86">
                  <c:v>S88</c:v>
                </c:pt>
                <c:pt idx="87">
                  <c:v>S89</c:v>
                </c:pt>
                <c:pt idx="88">
                  <c:v>S90</c:v>
                </c:pt>
                <c:pt idx="89">
                  <c:v>S91</c:v>
                </c:pt>
                <c:pt idx="90">
                  <c:v>S92</c:v>
                </c:pt>
                <c:pt idx="91">
                  <c:v>S93</c:v>
                </c:pt>
                <c:pt idx="92">
                  <c:v>S94</c:v>
                </c:pt>
                <c:pt idx="93">
                  <c:v>S95</c:v>
                </c:pt>
                <c:pt idx="94">
                  <c:v>S96</c:v>
                </c:pt>
                <c:pt idx="95">
                  <c:v>S97</c:v>
                </c:pt>
                <c:pt idx="96">
                  <c:v>S98</c:v>
                </c:pt>
                <c:pt idx="97">
                  <c:v>S99</c:v>
                </c:pt>
                <c:pt idx="98">
                  <c:v>S100</c:v>
                </c:pt>
                <c:pt idx="99">
                  <c:v>S101</c:v>
                </c:pt>
                <c:pt idx="100">
                  <c:v>S102</c:v>
                </c:pt>
                <c:pt idx="101">
                  <c:v>S103</c:v>
                </c:pt>
                <c:pt idx="102">
                  <c:v>S104</c:v>
                </c:pt>
                <c:pt idx="103">
                  <c:v>S105</c:v>
                </c:pt>
                <c:pt idx="104">
                  <c:v>S106</c:v>
                </c:pt>
                <c:pt idx="105">
                  <c:v>S107</c:v>
                </c:pt>
                <c:pt idx="106">
                  <c:v>S108</c:v>
                </c:pt>
                <c:pt idx="107">
                  <c:v>S109</c:v>
                </c:pt>
                <c:pt idx="108">
                  <c:v>S110</c:v>
                </c:pt>
                <c:pt idx="109">
                  <c:v>S111</c:v>
                </c:pt>
                <c:pt idx="110">
                  <c:v>S112</c:v>
                </c:pt>
                <c:pt idx="111">
                  <c:v>S1</c:v>
                </c:pt>
                <c:pt idx="112">
                  <c:v>S2</c:v>
                </c:pt>
                <c:pt idx="113">
                  <c:v>S3</c:v>
                </c:pt>
                <c:pt idx="114">
                  <c:v>S4</c:v>
                </c:pt>
                <c:pt idx="115">
                  <c:v>S5</c:v>
                </c:pt>
                <c:pt idx="116">
                  <c:v>S6</c:v>
                </c:pt>
                <c:pt idx="117">
                  <c:v>S7</c:v>
                </c:pt>
                <c:pt idx="118">
                  <c:v>S8</c:v>
                </c:pt>
                <c:pt idx="119">
                  <c:v>S9</c:v>
                </c:pt>
                <c:pt idx="120">
                  <c:v>S10</c:v>
                </c:pt>
                <c:pt idx="121">
                  <c:v>S11</c:v>
                </c:pt>
                <c:pt idx="122">
                  <c:v>S12</c:v>
                </c:pt>
                <c:pt idx="123">
                  <c:v>S13</c:v>
                </c:pt>
                <c:pt idx="124">
                  <c:v>S14</c:v>
                </c:pt>
                <c:pt idx="125">
                  <c:v>S15</c:v>
                </c:pt>
                <c:pt idx="126">
                  <c:v>S16</c:v>
                </c:pt>
                <c:pt idx="127">
                  <c:v>S1</c:v>
                </c:pt>
                <c:pt idx="128">
                  <c:v>S2</c:v>
                </c:pt>
                <c:pt idx="129">
                  <c:v>S3</c:v>
                </c:pt>
                <c:pt idx="130">
                  <c:v>S4</c:v>
                </c:pt>
                <c:pt idx="131">
                  <c:v>S5</c:v>
                </c:pt>
                <c:pt idx="132">
                  <c:v>S6</c:v>
                </c:pt>
                <c:pt idx="133">
                  <c:v>S7</c:v>
                </c:pt>
                <c:pt idx="134">
                  <c:v>S8</c:v>
                </c:pt>
                <c:pt idx="135">
                  <c:v>S9</c:v>
                </c:pt>
                <c:pt idx="136">
                  <c:v>S10</c:v>
                </c:pt>
                <c:pt idx="137">
                  <c:v>S11</c:v>
                </c:pt>
                <c:pt idx="138">
                  <c:v>S12</c:v>
                </c:pt>
                <c:pt idx="139">
                  <c:v>S13</c:v>
                </c:pt>
                <c:pt idx="140">
                  <c:v>S14</c:v>
                </c:pt>
                <c:pt idx="141">
                  <c:v>S15</c:v>
                </c:pt>
                <c:pt idx="142">
                  <c:v>S16</c:v>
                </c:pt>
                <c:pt idx="143">
                  <c:v>S1</c:v>
                </c:pt>
                <c:pt idx="144">
                  <c:v>S2</c:v>
                </c:pt>
                <c:pt idx="145">
                  <c:v>S3</c:v>
                </c:pt>
                <c:pt idx="146">
                  <c:v>S4</c:v>
                </c:pt>
                <c:pt idx="147">
                  <c:v>S5</c:v>
                </c:pt>
                <c:pt idx="148">
                  <c:v>S6</c:v>
                </c:pt>
                <c:pt idx="149">
                  <c:v>S7</c:v>
                </c:pt>
                <c:pt idx="150">
                  <c:v>S8</c:v>
                </c:pt>
                <c:pt idx="151">
                  <c:v>S9</c:v>
                </c:pt>
                <c:pt idx="152">
                  <c:v>S10</c:v>
                </c:pt>
                <c:pt idx="153">
                  <c:v>S11</c:v>
                </c:pt>
                <c:pt idx="154">
                  <c:v>S12</c:v>
                </c:pt>
                <c:pt idx="155">
                  <c:v>S13</c:v>
                </c:pt>
                <c:pt idx="156">
                  <c:v>S14</c:v>
                </c:pt>
                <c:pt idx="157">
                  <c:v>S15</c:v>
                </c:pt>
                <c:pt idx="158">
                  <c:v>S16</c:v>
                </c:pt>
                <c:pt idx="159">
                  <c:v>S1</c:v>
                </c:pt>
                <c:pt idx="160">
                  <c:v>S2</c:v>
                </c:pt>
                <c:pt idx="161">
                  <c:v>S3</c:v>
                </c:pt>
                <c:pt idx="162">
                  <c:v>S4</c:v>
                </c:pt>
                <c:pt idx="163">
                  <c:v>S5</c:v>
                </c:pt>
                <c:pt idx="164">
                  <c:v>S6</c:v>
                </c:pt>
                <c:pt idx="165">
                  <c:v>S7</c:v>
                </c:pt>
                <c:pt idx="166">
                  <c:v>S8</c:v>
                </c:pt>
                <c:pt idx="167">
                  <c:v>S9</c:v>
                </c:pt>
                <c:pt idx="168">
                  <c:v>S10</c:v>
                </c:pt>
                <c:pt idx="169">
                  <c:v>S11</c:v>
                </c:pt>
                <c:pt idx="170">
                  <c:v>S12</c:v>
                </c:pt>
                <c:pt idx="171">
                  <c:v>S13</c:v>
                </c:pt>
                <c:pt idx="172">
                  <c:v>S14</c:v>
                </c:pt>
                <c:pt idx="173">
                  <c:v>S15</c:v>
                </c:pt>
                <c:pt idx="174">
                  <c:v>S16</c:v>
                </c:pt>
                <c:pt idx="175">
                  <c:v>S1</c:v>
                </c:pt>
              </c:strCache>
            </c:strRef>
          </c:cat>
          <c:val>
            <c:numRef>
              <c:f>Aficion_Patro!$C$2:$C$178</c:f>
              <c:numCache>
                <c:formatCode>0.0%</c:formatCode>
                <c:ptCount val="177"/>
                <c:pt idx="0">
                  <c:v>0</c:v>
                </c:pt>
                <c:pt idx="1">
                  <c:v>6.2192914403930696E-2</c:v>
                </c:pt>
                <c:pt idx="2">
                  <c:v>3.6031649421789408E-2</c:v>
                </c:pt>
                <c:pt idx="3">
                  <c:v>2.1736576195511691E-2</c:v>
                </c:pt>
                <c:pt idx="4">
                  <c:v>1.7019319227230909E-2</c:v>
                </c:pt>
                <c:pt idx="5">
                  <c:v>1.6734509271822705E-2</c:v>
                </c:pt>
                <c:pt idx="6">
                  <c:v>1.2344306049822064E-2</c:v>
                </c:pt>
                <c:pt idx="7">
                  <c:v>1.2193782269581456E-2</c:v>
                </c:pt>
                <c:pt idx="8">
                  <c:v>8.0312567831560665E-3</c:v>
                </c:pt>
                <c:pt idx="9">
                  <c:v>1.1950904392764857E-2</c:v>
                </c:pt>
                <c:pt idx="10">
                  <c:v>7.8731779976593252E-3</c:v>
                </c:pt>
                <c:pt idx="11">
                  <c:v>1.1717512931489496E-2</c:v>
                </c:pt>
                <c:pt idx="12">
                  <c:v>7.7212020033388985E-3</c:v>
                </c:pt>
                <c:pt idx="13">
                  <c:v>1.1493062745910127E-2</c:v>
                </c:pt>
                <c:pt idx="14">
                  <c:v>7.5749820861910127E-3</c:v>
                </c:pt>
                <c:pt idx="15">
                  <c:v>6.0957025297165499E-3</c:v>
                </c:pt>
                <c:pt idx="16">
                  <c:v>-5.0893668585277191E-2</c:v>
                </c:pt>
                <c:pt idx="17">
                  <c:v>8.6604957974252578E-2</c:v>
                </c:pt>
                <c:pt idx="18">
                  <c:v>5.4342504650935083E-2</c:v>
                </c:pt>
                <c:pt idx="19">
                  <c:v>2.7488855869242199E-2</c:v>
                </c:pt>
                <c:pt idx="20">
                  <c:v>2.3409255242227044E-2</c:v>
                </c:pt>
                <c:pt idx="21">
                  <c:v>1.6338426212134594E-2</c:v>
                </c:pt>
                <c:pt idx="22">
                  <c:v>9.6454640250260692E-3</c:v>
                </c:pt>
                <c:pt idx="23">
                  <c:v>9.5533178414665635E-3</c:v>
                </c:pt>
                <c:pt idx="24">
                  <c:v>8.5251491901108273E-3</c:v>
                </c:pt>
                <c:pt idx="25">
                  <c:v>1.0312764158918006E-2</c:v>
                </c:pt>
                <c:pt idx="26">
                  <c:v>6.1914323962516732E-3</c:v>
                </c:pt>
                <c:pt idx="27">
                  <c:v>9.2300016630633627E-3</c:v>
                </c:pt>
                <c:pt idx="28">
                  <c:v>6.0970585811979897E-3</c:v>
                </c:pt>
                <c:pt idx="29">
                  <c:v>9.0901646056834005E-3</c:v>
                </c:pt>
                <c:pt idx="30">
                  <c:v>6.00551858464535E-3</c:v>
                </c:pt>
                <c:pt idx="31">
                  <c:v>8.954501452081317E-3</c:v>
                </c:pt>
                <c:pt idx="32">
                  <c:v>-0.15679219637003278</c:v>
                </c:pt>
                <c:pt idx="33">
                  <c:v>0.10525317655983311</c:v>
                </c:pt>
                <c:pt idx="34">
                  <c:v>5.7137954701441319E-2</c:v>
                </c:pt>
                <c:pt idx="35">
                  <c:v>3.3030352215549424E-2</c:v>
                </c:pt>
                <c:pt idx="36">
                  <c:v>1.7440490219184538E-2</c:v>
                </c:pt>
                <c:pt idx="37">
                  <c:v>1.4284611226932283E-2</c:v>
                </c:pt>
                <c:pt idx="38">
                  <c:v>1.1266747868453105E-2</c:v>
                </c:pt>
                <c:pt idx="39">
                  <c:v>5.570611261668172E-3</c:v>
                </c:pt>
                <c:pt idx="40">
                  <c:v>5.5397514597993712E-3</c:v>
                </c:pt>
                <c:pt idx="41">
                  <c:v>5.5092316855270993E-3</c:v>
                </c:pt>
                <c:pt idx="42">
                  <c:v>5.4790463497704726E-3</c:v>
                </c:pt>
                <c:pt idx="43">
                  <c:v>5.4491899852724592E-3</c:v>
                </c:pt>
                <c:pt idx="44">
                  <c:v>5.5661344660905233E-3</c:v>
                </c:pt>
                <c:pt idx="45">
                  <c:v>5.2439912600145662E-3</c:v>
                </c:pt>
                <c:pt idx="46">
                  <c:v>5.3615418055354301E-3</c:v>
                </c:pt>
                <c:pt idx="47">
                  <c:v>-1.3332372441625828E-2</c:v>
                </c:pt>
                <c:pt idx="48">
                  <c:v>-9.1885180045285231E-2</c:v>
                </c:pt>
                <c:pt idx="49">
                  <c:v>0.1249899461111558</c:v>
                </c:pt>
                <c:pt idx="50">
                  <c:v>7.1423464645742479E-2</c:v>
                </c:pt>
                <c:pt idx="51">
                  <c:v>3.7034565594554918E-2</c:v>
                </c:pt>
                <c:pt idx="52">
                  <c:v>2.142719258734959E-2</c:v>
                </c:pt>
                <c:pt idx="53">
                  <c:v>1.3985132921758851E-2</c:v>
                </c:pt>
                <c:pt idx="54">
                  <c:v>1.1493538767395626E-2</c:v>
                </c:pt>
                <c:pt idx="55">
                  <c:v>6.8177630366685095E-3</c:v>
                </c:pt>
                <c:pt idx="56">
                  <c:v>6.7715959004392388E-3</c:v>
                </c:pt>
                <c:pt idx="57">
                  <c:v>6.7260498091256133E-3</c:v>
                </c:pt>
                <c:pt idx="58">
                  <c:v>4.454074876610088E-3</c:v>
                </c:pt>
                <c:pt idx="59">
                  <c:v>6.6514860977948224E-3</c:v>
                </c:pt>
                <c:pt idx="60">
                  <c:v>4.4050241085778919E-3</c:v>
                </c:pt>
                <c:pt idx="61">
                  <c:v>2.1928524862205893E-3</c:v>
                </c:pt>
                <c:pt idx="62">
                  <c:v>6.5641632170313421E-3</c:v>
                </c:pt>
                <c:pt idx="63">
                  <c:v>2.1737853240115152E-3</c:v>
                </c:pt>
                <c:pt idx="64">
                  <c:v>-0.13014421385860006</c:v>
                </c:pt>
                <c:pt idx="65">
                  <c:v>0.14712225367300175</c:v>
                </c:pt>
                <c:pt idx="66">
                  <c:v>8.0430056988426063E-2</c:v>
                </c:pt>
                <c:pt idx="67">
                  <c:v>4.0239260467645463E-2</c:v>
                </c:pt>
                <c:pt idx="68">
                  <c:v>2.5091479351803451E-2</c:v>
                </c:pt>
                <c:pt idx="69">
                  <c:v>1.3258541560428353E-2</c:v>
                </c:pt>
                <c:pt idx="70">
                  <c:v>5.5863110216406641E-3</c:v>
                </c:pt>
                <c:pt idx="71">
                  <c:v>1.851759171212652E-3</c:v>
                </c:pt>
                <c:pt idx="72">
                  <c:v>1.8483364971525627E-3</c:v>
                </c:pt>
                <c:pt idx="73">
                  <c:v>3.6898529045125902E-3</c:v>
                </c:pt>
                <c:pt idx="74">
                  <c:v>0</c:v>
                </c:pt>
                <c:pt idx="75">
                  <c:v>3.6762879427691391E-3</c:v>
                </c:pt>
                <c:pt idx="76">
                  <c:v>5.4942335296738112E-3</c:v>
                </c:pt>
                <c:pt idx="77">
                  <c:v>5.4642118735847203E-3</c:v>
                </c:pt>
                <c:pt idx="78">
                  <c:v>3.6230110159118727E-3</c:v>
                </c:pt>
                <c:pt idx="79">
                  <c:v>5.4148982877213524E-3</c:v>
                </c:pt>
                <c:pt idx="80">
                  <c:v>-0.17081999029597283</c:v>
                </c:pt>
                <c:pt idx="81">
                  <c:v>5.0124638664903388E-2</c:v>
                </c:pt>
                <c:pt idx="82">
                  <c:v>7.6284408781901264E-2</c:v>
                </c:pt>
                <c:pt idx="83">
                  <c:v>4.0227802226249026E-2</c:v>
                </c:pt>
                <c:pt idx="84">
                  <c:v>2.3939876567788173E-2</c:v>
                </c:pt>
                <c:pt idx="85">
                  <c:v>1.2589316093909493E-2</c:v>
                </c:pt>
                <c:pt idx="86">
                  <c:v>8.8805683563748083E-3</c:v>
                </c:pt>
                <c:pt idx="87">
                  <c:v>5.2814388352286244E-3</c:v>
                </c:pt>
                <c:pt idx="88">
                  <c:v>5.2536917834153729E-3</c:v>
                </c:pt>
                <c:pt idx="89">
                  <c:v>5.2262347568152925E-3</c:v>
                </c:pt>
                <c:pt idx="90">
                  <c:v>1.7330210772833724E-3</c:v>
                </c:pt>
                <c:pt idx="91">
                  <c:v>1.7300229111142282E-3</c:v>
                </c:pt>
                <c:pt idx="92">
                  <c:v>3.454070201643017E-3</c:v>
                </c:pt>
                <c:pt idx="93">
                  <c:v>0</c:v>
                </c:pt>
                <c:pt idx="94">
                  <c:v>1.7210903339845568E-3</c:v>
                </c:pt>
                <c:pt idx="95">
                  <c:v>-1.7181332714186208E-3</c:v>
                </c:pt>
                <c:pt idx="96">
                  <c:v>-7.8035166061959246E-2</c:v>
                </c:pt>
                <c:pt idx="97">
                  <c:v>8.6506831345482427E-2</c:v>
                </c:pt>
                <c:pt idx="98">
                  <c:v>8.2470397028093806E-2</c:v>
                </c:pt>
                <c:pt idx="99">
                  <c:v>4.1268070867830638E-2</c:v>
                </c:pt>
                <c:pt idx="100">
                  <c:v>1.9816256746178883E-2</c:v>
                </c:pt>
                <c:pt idx="101">
                  <c:v>1.3452371333925831E-2</c:v>
                </c:pt>
                <c:pt idx="102">
                  <c:v>5.8994698449396105E-3</c:v>
                </c:pt>
                <c:pt idx="103">
                  <c:v>7.3310877749157913E-3</c:v>
                </c:pt>
                <c:pt idx="104">
                  <c:v>4.3666404405979546E-3</c:v>
                </c:pt>
                <c:pt idx="105">
                  <c:v>2.7417649132427243E-3</c:v>
                </c:pt>
                <c:pt idx="106">
                  <c:v>3.046755986094293E-3</c:v>
                </c:pt>
                <c:pt idx="107">
                  <c:v>4.3225982320183806E-3</c:v>
                </c:pt>
                <c:pt idx="108">
                  <c:v>2.8693291973633192E-3</c:v>
                </c:pt>
                <c:pt idx="109">
                  <c:v>2.8611197030621715E-3</c:v>
                </c:pt>
                <c:pt idx="110">
                  <c:v>2.8529570514303337E-3</c:v>
                </c:pt>
                <c:pt idx="111">
                  <c:v>2.8448408426879901E-3</c:v>
                </c:pt>
                <c:pt idx="112">
                  <c:v>-0.26523805872882006</c:v>
                </c:pt>
                <c:pt idx="113">
                  <c:v>0.13511765012782387</c:v>
                </c:pt>
                <c:pt idx="114">
                  <c:v>7.1435137520223568E-2</c:v>
                </c:pt>
                <c:pt idx="115">
                  <c:v>3.8093603877997512E-2</c:v>
                </c:pt>
                <c:pt idx="116">
                  <c:v>2.1405843216661846E-2</c:v>
                </c:pt>
                <c:pt idx="117">
                  <c:v>1.1975563377432536E-2</c:v>
                </c:pt>
                <c:pt idx="118">
                  <c:v>7.3961539999200417E-3</c:v>
                </c:pt>
                <c:pt idx="119">
                  <c:v>4.4051115167870469E-3</c:v>
                </c:pt>
                <c:pt idx="120">
                  <c:v>2.9238610770872023E-3</c:v>
                </c:pt>
                <c:pt idx="121">
                  <c:v>2.9153370365992987E-3</c:v>
                </c:pt>
                <c:pt idx="122">
                  <c:v>2.9068625525395767E-3</c:v>
                </c:pt>
                <c:pt idx="123">
                  <c:v>1.4492185969997259E-3</c:v>
                </c:pt>
                <c:pt idx="124">
                  <c:v>1.4471214017521903E-3</c:v>
                </c:pt>
                <c:pt idx="125">
                  <c:v>0</c:v>
                </c:pt>
                <c:pt idx="126">
                  <c:v>0</c:v>
                </c:pt>
                <c:pt idx="127">
                  <c:v>1.4450302675258738E-3</c:v>
                </c:pt>
                <c:pt idx="128">
                  <c:v>-0.25828718508696669</c:v>
                </c:pt>
                <c:pt idx="129">
                  <c:v>0.15174299384825701</c:v>
                </c:pt>
                <c:pt idx="130">
                  <c:v>2.2597580461081946E-2</c:v>
                </c:pt>
                <c:pt idx="131">
                  <c:v>5.3571428571428568E-2</c:v>
                </c:pt>
                <c:pt idx="132">
                  <c:v>6.9279661016949157E-2</c:v>
                </c:pt>
                <c:pt idx="133">
                  <c:v>1.3195957994848425E-2</c:v>
                </c:pt>
                <c:pt idx="134">
                  <c:v>7.235607008760951E-3</c:v>
                </c:pt>
                <c:pt idx="135">
                  <c:v>4.3101774550537804E-3</c:v>
                </c:pt>
                <c:pt idx="136">
                  <c:v>2.8611197030621715E-3</c:v>
                </c:pt>
                <c:pt idx="137">
                  <c:v>2.8529570514303337E-3</c:v>
                </c:pt>
                <c:pt idx="138">
                  <c:v>2.8448408426879901E-3</c:v>
                </c:pt>
                <c:pt idx="139">
                  <c:v>1.4183853407958291E-3</c:v>
                </c:pt>
                <c:pt idx="140">
                  <c:v>1.4163763733108755E-3</c:v>
                </c:pt>
                <c:pt idx="141">
                  <c:v>1.4143730886850153E-3</c:v>
                </c:pt>
                <c:pt idx="142">
                  <c:v>1.4123754628392565E-3</c:v>
                </c:pt>
                <c:pt idx="143">
                  <c:v>2.8207669436608983E-3</c:v>
                </c:pt>
                <c:pt idx="144">
                  <c:v>-0.13782879732400791</c:v>
                </c:pt>
                <c:pt idx="145">
                  <c:v>0.16149369544131911</c:v>
                </c:pt>
                <c:pt idx="146">
                  <c:v>8.4266464224710569E-2</c:v>
                </c:pt>
                <c:pt idx="147">
                  <c:v>4.4039908979520391E-2</c:v>
                </c:pt>
                <c:pt idx="148">
                  <c:v>3.2759950373872512E-2</c:v>
                </c:pt>
                <c:pt idx="149">
                  <c:v>6.4935064935064939E-3</c:v>
                </c:pt>
                <c:pt idx="150">
                  <c:v>6.193548387096774E-3</c:v>
                </c:pt>
                <c:pt idx="151">
                  <c:v>2.3724031803026417E-3</c:v>
                </c:pt>
                <c:pt idx="152">
                  <c:v>2.3667882044393269E-3</c:v>
                </c:pt>
                <c:pt idx="153">
                  <c:v>2.3611997447351629E-3</c:v>
                </c:pt>
                <c:pt idx="154">
                  <c:v>1.1778188069013816E-3</c:v>
                </c:pt>
                <c:pt idx="155">
                  <c:v>2.3528663635496486E-3</c:v>
                </c:pt>
                <c:pt idx="156">
                  <c:v>1.1736716891356067E-3</c:v>
                </c:pt>
                <c:pt idx="157">
                  <c:v>-9.7300551295862112E-2</c:v>
                </c:pt>
                <c:pt idx="158">
                  <c:v>-5.843950721280404E-2</c:v>
                </c:pt>
                <c:pt idx="159">
                  <c:v>-3.4481473197644073E-2</c:v>
                </c:pt>
                <c:pt idx="160">
                  <c:v>-0.23427666885448439</c:v>
                </c:pt>
                <c:pt idx="161">
                  <c:v>8.2085413200221849E-2</c:v>
                </c:pt>
                <c:pt idx="162">
                  <c:v>5.1721727785284936E-2</c:v>
                </c:pt>
                <c:pt idx="163">
                  <c:v>3.2785432634796864E-2</c:v>
                </c:pt>
                <c:pt idx="164">
                  <c:v>2.2221268928831882E-2</c:v>
                </c:pt>
                <c:pt idx="165">
                  <c:v>1.2421838935750556E-2</c:v>
                </c:pt>
                <c:pt idx="166">
                  <c:v>9.2020725388601045E-3</c:v>
                </c:pt>
                <c:pt idx="167">
                  <c:v>4.5590832546104241E-3</c:v>
                </c:pt>
                <c:pt idx="168">
                  <c:v>3.0255948973750921E-3</c:v>
                </c:pt>
                <c:pt idx="169">
                  <c:v>3.0164682863199088E-3</c:v>
                </c:pt>
                <c:pt idx="170">
                  <c:v>0</c:v>
                </c:pt>
                <c:pt idx="171">
                  <c:v>1.5036982849711453E-3</c:v>
                </c:pt>
                <c:pt idx="172">
                  <c:v>1.4983074883482448E-3</c:v>
                </c:pt>
                <c:pt idx="173">
                  <c:v>0</c:v>
                </c:pt>
                <c:pt idx="174">
                  <c:v>-1.4960659215748865E-3</c:v>
                </c:pt>
                <c:pt idx="175">
                  <c:v>-3.0028811427180134E-3</c:v>
                </c:pt>
                <c:pt idx="176">
                  <c:v>-6.7768325939191659E-2</c:v>
                </c:pt>
              </c:numCache>
            </c:numRef>
          </c:val>
          <c:smooth val="0"/>
        </c:ser>
        <c:dLbls>
          <c:showLegendKey val="0"/>
          <c:showVal val="0"/>
          <c:showCatName val="0"/>
          <c:showSerName val="0"/>
          <c:showPercent val="0"/>
          <c:showBubbleSize val="0"/>
        </c:dLbls>
        <c:marker val="1"/>
        <c:smooth val="0"/>
        <c:axId val="294302600"/>
        <c:axId val="290808504"/>
      </c:lineChart>
      <c:catAx>
        <c:axId val="285009144"/>
        <c:scaling>
          <c:orientation val="minMax"/>
        </c:scaling>
        <c:delete val="0"/>
        <c:axPos val="b"/>
        <c:numFmt formatCode="General" sourceLinked="1"/>
        <c:majorTickMark val="out"/>
        <c:minorTickMark val="none"/>
        <c:tickLblPos val="nextTo"/>
        <c:txPr>
          <a:bodyPr rot="-5400000" vert="horz"/>
          <a:lstStyle/>
          <a:p>
            <a:pPr>
              <a:defRPr/>
            </a:pPr>
            <a:endParaRPr lang="es-ES"/>
          </a:p>
        </c:txPr>
        <c:crossAx val="285007184"/>
        <c:crosses val="autoZero"/>
        <c:auto val="1"/>
        <c:lblAlgn val="ctr"/>
        <c:lblOffset val="100"/>
        <c:noMultiLvlLbl val="0"/>
      </c:catAx>
      <c:valAx>
        <c:axId val="285007184"/>
        <c:scaling>
          <c:orientation val="minMax"/>
        </c:scaling>
        <c:delete val="0"/>
        <c:axPos val="l"/>
        <c:majorGridlines/>
        <c:numFmt formatCode="General" sourceLinked="1"/>
        <c:majorTickMark val="out"/>
        <c:minorTickMark val="none"/>
        <c:tickLblPos val="nextTo"/>
        <c:crossAx val="285009144"/>
        <c:crosses val="autoZero"/>
        <c:crossBetween val="between"/>
      </c:valAx>
      <c:valAx>
        <c:axId val="290808504"/>
        <c:scaling>
          <c:orientation val="minMax"/>
        </c:scaling>
        <c:delete val="0"/>
        <c:axPos val="r"/>
        <c:numFmt formatCode="0.0%" sourceLinked="1"/>
        <c:majorTickMark val="out"/>
        <c:minorTickMark val="none"/>
        <c:tickLblPos val="nextTo"/>
        <c:crossAx val="294302600"/>
        <c:crosses val="max"/>
        <c:crossBetween val="between"/>
      </c:valAx>
      <c:catAx>
        <c:axId val="294302600"/>
        <c:scaling>
          <c:orientation val="minMax"/>
        </c:scaling>
        <c:delete val="1"/>
        <c:axPos val="b"/>
        <c:numFmt formatCode="General" sourceLinked="1"/>
        <c:majorTickMark val="out"/>
        <c:minorTickMark val="none"/>
        <c:tickLblPos val="none"/>
        <c:crossAx val="290808504"/>
        <c:crosses val="autoZero"/>
        <c:auto val="1"/>
        <c:lblAlgn val="ctr"/>
        <c:lblOffset val="100"/>
        <c:noMultiLvlLbl val="0"/>
      </c:cat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 Inicial AF</c:v>
          </c:tx>
          <c:cat>
            <c:strRef>
              <c:f>Aficion_Patro!$A$2:$A$17</c:f>
              <c:strCache>
                <c:ptCount val="1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strCache>
            </c:strRef>
          </c:cat>
          <c:val>
            <c:numRef>
              <c:f>Aficion_Patro!$G$2:$G$178</c:f>
              <c:numCache>
                <c:formatCode>0.0%</c:formatCode>
                <c:ptCount val="177"/>
                <c:pt idx="0" formatCode="General">
                  <c:v>0</c:v>
                </c:pt>
                <c:pt idx="1">
                  <c:v>2.5225225225225224E-2</c:v>
                </c:pt>
                <c:pt idx="2">
                  <c:v>5.0450450450450449E-2</c:v>
                </c:pt>
                <c:pt idx="3">
                  <c:v>6.8468468468468463E-2</c:v>
                </c:pt>
                <c:pt idx="4">
                  <c:v>9.3693693693693694E-2</c:v>
                </c:pt>
                <c:pt idx="5">
                  <c:v>0.12612612612612611</c:v>
                </c:pt>
                <c:pt idx="6">
                  <c:v>0.15855855855855855</c:v>
                </c:pt>
                <c:pt idx="7">
                  <c:v>0.19099099099099098</c:v>
                </c:pt>
                <c:pt idx="8">
                  <c:v>0.21621621621621623</c:v>
                </c:pt>
                <c:pt idx="9">
                  <c:v>0.24864864864864866</c:v>
                </c:pt>
                <c:pt idx="10">
                  <c:v>0.27747747747747747</c:v>
                </c:pt>
                <c:pt idx="11">
                  <c:v>0.30630630630630629</c:v>
                </c:pt>
                <c:pt idx="12">
                  <c:v>0.33513513513513515</c:v>
                </c:pt>
                <c:pt idx="13">
                  <c:v>0.36396396396396397</c:v>
                </c:pt>
                <c:pt idx="14">
                  <c:v>0.39279279279279278</c:v>
                </c:pt>
                <c:pt idx="15">
                  <c:v>0.42162162162162165</c:v>
                </c:pt>
                <c:pt idx="16">
                  <c:v>0</c:v>
                </c:pt>
                <c:pt idx="17">
                  <c:v>1.6930022573363433E-2</c:v>
                </c:pt>
                <c:pt idx="18">
                  <c:v>3.724604966139955E-2</c:v>
                </c:pt>
                <c:pt idx="19">
                  <c:v>5.3047404063205419E-2</c:v>
                </c:pt>
                <c:pt idx="20">
                  <c:v>7.336343115124154E-2</c:v>
                </c:pt>
                <c:pt idx="21">
                  <c:v>9.3679458239277646E-2</c:v>
                </c:pt>
                <c:pt idx="22">
                  <c:v>0.10948081264108352</c:v>
                </c:pt>
                <c:pt idx="23">
                  <c:v>0.1275395033860045</c:v>
                </c:pt>
                <c:pt idx="24">
                  <c:v>0.14559819413092551</c:v>
                </c:pt>
                <c:pt idx="25">
                  <c:v>0.16365688487584651</c:v>
                </c:pt>
                <c:pt idx="26">
                  <c:v>0.17720090293453725</c:v>
                </c:pt>
                <c:pt idx="27">
                  <c:v>0.19525959367945825</c:v>
                </c:pt>
                <c:pt idx="28">
                  <c:v>0.21331828442437922</c:v>
                </c:pt>
                <c:pt idx="29">
                  <c:v>0.22911963882618511</c:v>
                </c:pt>
                <c:pt idx="30">
                  <c:v>0.24492099322799096</c:v>
                </c:pt>
                <c:pt idx="31">
                  <c:v>0.26072234762979685</c:v>
                </c:pt>
                <c:pt idx="32">
                  <c:v>0</c:v>
                </c:pt>
                <c:pt idx="33">
                  <c:v>9.7259062776304164E-3</c:v>
                </c:pt>
                <c:pt idx="34">
                  <c:v>2.2104332449160036E-2</c:v>
                </c:pt>
                <c:pt idx="35">
                  <c:v>3.3598585322723251E-2</c:v>
                </c:pt>
                <c:pt idx="36">
                  <c:v>4.2440318302387266E-2</c:v>
                </c:pt>
                <c:pt idx="37">
                  <c:v>5.4818744473916887E-2</c:v>
                </c:pt>
                <c:pt idx="38">
                  <c:v>6.6312997347480113E-2</c:v>
                </c:pt>
                <c:pt idx="39">
                  <c:v>7.6923076923076927E-2</c:v>
                </c:pt>
                <c:pt idx="40">
                  <c:v>8.2228116710875335E-2</c:v>
                </c:pt>
                <c:pt idx="41">
                  <c:v>9.2838196286472149E-2</c:v>
                </c:pt>
                <c:pt idx="42">
                  <c:v>0.10344827586206896</c:v>
                </c:pt>
                <c:pt idx="43">
                  <c:v>0.11229000884173299</c:v>
                </c:pt>
                <c:pt idx="44">
                  <c:v>0.12113174182139699</c:v>
                </c:pt>
                <c:pt idx="45">
                  <c:v>0.13174182139699381</c:v>
                </c:pt>
                <c:pt idx="46">
                  <c:v>0.14235190097259062</c:v>
                </c:pt>
                <c:pt idx="47">
                  <c:v>0.1184792219274978</c:v>
                </c:pt>
                <c:pt idx="48">
                  <c:v>0</c:v>
                </c:pt>
                <c:pt idx="49">
                  <c:v>7.8236130867709811E-3</c:v>
                </c:pt>
                <c:pt idx="50">
                  <c:v>1.7780938833570414E-2</c:v>
                </c:pt>
                <c:pt idx="51">
                  <c:v>2.5604551920341393E-2</c:v>
                </c:pt>
                <c:pt idx="52">
                  <c:v>3.5561877667140827E-2</c:v>
                </c:pt>
                <c:pt idx="53">
                  <c:v>4.5519203413940258E-2</c:v>
                </c:pt>
                <c:pt idx="54">
                  <c:v>5.5476529160739689E-2</c:v>
                </c:pt>
                <c:pt idx="55">
                  <c:v>6.4011379800853488E-2</c:v>
                </c:pt>
                <c:pt idx="56">
                  <c:v>7.254623044096728E-2</c:v>
                </c:pt>
                <c:pt idx="57">
                  <c:v>8.1081081081081086E-2</c:v>
                </c:pt>
                <c:pt idx="58">
                  <c:v>8.9615931721194877E-2</c:v>
                </c:pt>
                <c:pt idx="59">
                  <c:v>9.8150782361308683E-2</c:v>
                </c:pt>
                <c:pt idx="60">
                  <c:v>0.10668563300142248</c:v>
                </c:pt>
                <c:pt idx="61">
                  <c:v>0.11095305832147938</c:v>
                </c:pt>
                <c:pt idx="62">
                  <c:v>0.11948790896159317</c:v>
                </c:pt>
                <c:pt idx="63">
                  <c:v>0.1251778093883357</c:v>
                </c:pt>
                <c:pt idx="64">
                  <c:v>0</c:v>
                </c:pt>
                <c:pt idx="65">
                  <c:v>4.5688178183894918E-3</c:v>
                </c:pt>
                <c:pt idx="66">
                  <c:v>1.1422044545973729E-2</c:v>
                </c:pt>
                <c:pt idx="67">
                  <c:v>1.7133066818960593E-2</c:v>
                </c:pt>
                <c:pt idx="68">
                  <c:v>2.3986293546544833E-2</c:v>
                </c:pt>
                <c:pt idx="69">
                  <c:v>3.0839520274129069E-2</c:v>
                </c:pt>
                <c:pt idx="70">
                  <c:v>3.1981724728726443E-2</c:v>
                </c:pt>
                <c:pt idx="71">
                  <c:v>3.1981724728726443E-2</c:v>
                </c:pt>
                <c:pt idx="72">
                  <c:v>3.3123929183323818E-2</c:v>
                </c:pt>
                <c:pt idx="73">
                  <c:v>3.6550542547115934E-2</c:v>
                </c:pt>
                <c:pt idx="74">
                  <c:v>3.7692747001713309E-2</c:v>
                </c:pt>
                <c:pt idx="75">
                  <c:v>4.22615648201028E-2</c:v>
                </c:pt>
                <c:pt idx="76">
                  <c:v>4.9114791547687033E-2</c:v>
                </c:pt>
                <c:pt idx="77">
                  <c:v>5.5968018275271272E-2</c:v>
                </c:pt>
                <c:pt idx="78">
                  <c:v>6.2821245002855505E-2</c:v>
                </c:pt>
                <c:pt idx="79">
                  <c:v>6.9674471730439752E-2</c:v>
                </c:pt>
                <c:pt idx="80">
                  <c:v>0</c:v>
                </c:pt>
                <c:pt idx="81">
                  <c:v>3.7194473963868225E-3</c:v>
                </c:pt>
                <c:pt idx="82">
                  <c:v>6.9075451647183849E-3</c:v>
                </c:pt>
                <c:pt idx="83">
                  <c:v>1.1158342189160468E-2</c:v>
                </c:pt>
                <c:pt idx="84">
                  <c:v>1.647183846971307E-2</c:v>
                </c:pt>
                <c:pt idx="85">
                  <c:v>2.1785334750265676E-2</c:v>
                </c:pt>
                <c:pt idx="86">
                  <c:v>2.7098831030818279E-2</c:v>
                </c:pt>
                <c:pt idx="87">
                  <c:v>3.2412327311370885E-2</c:v>
                </c:pt>
                <c:pt idx="88">
                  <c:v>3.7725823591923488E-2</c:v>
                </c:pt>
                <c:pt idx="89">
                  <c:v>4.3039319872476091E-2</c:v>
                </c:pt>
                <c:pt idx="90">
                  <c:v>4.7290116896918172E-2</c:v>
                </c:pt>
                <c:pt idx="91">
                  <c:v>4.9415515409139216E-2</c:v>
                </c:pt>
                <c:pt idx="92">
                  <c:v>5.2603613177470775E-2</c:v>
                </c:pt>
                <c:pt idx="93">
                  <c:v>5.2603613177470775E-2</c:v>
                </c:pt>
                <c:pt idx="94">
                  <c:v>5.4729011689691819E-2</c:v>
                </c:pt>
                <c:pt idx="95">
                  <c:v>5.4729011689691819E-2</c:v>
                </c:pt>
                <c:pt idx="96">
                  <c:v>0</c:v>
                </c:pt>
                <c:pt idx="97">
                  <c:v>2.2872827081427266E-3</c:v>
                </c:pt>
                <c:pt idx="98">
                  <c:v>3.2021957913998169E-3</c:v>
                </c:pt>
                <c:pt idx="99">
                  <c:v>3.2021957913998169E-3</c:v>
                </c:pt>
                <c:pt idx="100">
                  <c:v>3.2021957913998169E-3</c:v>
                </c:pt>
                <c:pt idx="101">
                  <c:v>6.861848124428179E-3</c:v>
                </c:pt>
                <c:pt idx="102">
                  <c:v>8.6916742909423604E-3</c:v>
                </c:pt>
                <c:pt idx="103">
                  <c:v>1.3266239707227814E-2</c:v>
                </c:pt>
                <c:pt idx="104">
                  <c:v>1.7840805123513267E-2</c:v>
                </c:pt>
                <c:pt idx="105">
                  <c:v>2.0585544373284539E-2</c:v>
                </c:pt>
                <c:pt idx="106">
                  <c:v>2.5160109789569989E-2</c:v>
                </c:pt>
                <c:pt idx="107">
                  <c:v>2.9734675205855442E-2</c:v>
                </c:pt>
                <c:pt idx="108">
                  <c:v>3.4309240622140899E-2</c:v>
                </c:pt>
                <c:pt idx="109">
                  <c:v>3.796889295516926E-2</c:v>
                </c:pt>
                <c:pt idx="110">
                  <c:v>4.1628545288197621E-2</c:v>
                </c:pt>
                <c:pt idx="111">
                  <c:v>4.5288197621225983E-2</c:v>
                </c:pt>
                <c:pt idx="112">
                  <c:v>0</c:v>
                </c:pt>
                <c:pt idx="113">
                  <c:v>1.3060513713539399E-3</c:v>
                </c:pt>
                <c:pt idx="114">
                  <c:v>4.3535045711797999E-3</c:v>
                </c:pt>
                <c:pt idx="115">
                  <c:v>6.0949063996517195E-3</c:v>
                </c:pt>
                <c:pt idx="116">
                  <c:v>9.5777100565955595E-3</c:v>
                </c:pt>
                <c:pt idx="117">
                  <c:v>1.2625163256421419E-2</c:v>
                </c:pt>
                <c:pt idx="118">
                  <c:v>1.610796691336526E-2</c:v>
                </c:pt>
                <c:pt idx="119">
                  <c:v>1.8720069656073139E-2</c:v>
                </c:pt>
                <c:pt idx="120">
                  <c:v>2.0461471484545059E-2</c:v>
                </c:pt>
                <c:pt idx="121">
                  <c:v>2.3073574227252938E-2</c:v>
                </c:pt>
                <c:pt idx="122">
                  <c:v>2.5685676969960818E-2</c:v>
                </c:pt>
                <c:pt idx="123">
                  <c:v>2.7427078798432737E-2</c:v>
                </c:pt>
                <c:pt idx="124">
                  <c:v>3.0039181541140617E-2</c:v>
                </c:pt>
                <c:pt idx="125">
                  <c:v>2.9168480626904657E-2</c:v>
                </c:pt>
                <c:pt idx="126">
                  <c:v>2.9168480626904657E-2</c:v>
                </c:pt>
                <c:pt idx="127">
                  <c:v>3.1780583369612536E-2</c:v>
                </c:pt>
                <c:pt idx="128">
                  <c:v>0</c:v>
                </c:pt>
                <c:pt idx="129">
                  <c:v>1.6863406408094434E-3</c:v>
                </c:pt>
                <c:pt idx="130">
                  <c:v>2.951096121416526E-3</c:v>
                </c:pt>
                <c:pt idx="131">
                  <c:v>5.4806070826306915E-3</c:v>
                </c:pt>
                <c:pt idx="132">
                  <c:v>5.4806070826306915E-3</c:v>
                </c:pt>
                <c:pt idx="133">
                  <c:v>7.166947723440135E-3</c:v>
                </c:pt>
                <c:pt idx="134">
                  <c:v>9.6964586846543001E-3</c:v>
                </c:pt>
                <c:pt idx="135">
                  <c:v>1.1382799325463743E-2</c:v>
                </c:pt>
                <c:pt idx="136">
                  <c:v>1.3069139966273187E-2</c:v>
                </c:pt>
                <c:pt idx="137">
                  <c:v>1.5598650927487353E-2</c:v>
                </c:pt>
                <c:pt idx="138">
                  <c:v>1.8128161888701519E-2</c:v>
                </c:pt>
                <c:pt idx="139">
                  <c:v>2.0657672849915681E-2</c:v>
                </c:pt>
                <c:pt idx="140">
                  <c:v>2.1500843170320406E-2</c:v>
                </c:pt>
                <c:pt idx="141">
                  <c:v>2.2344013490725127E-2</c:v>
                </c:pt>
                <c:pt idx="142">
                  <c:v>2.4873524451939293E-2</c:v>
                </c:pt>
                <c:pt idx="143">
                  <c:v>0.1679314221472738</c:v>
                </c:pt>
                <c:pt idx="144">
                  <c:v>0</c:v>
                </c:pt>
                <c:pt idx="145">
                  <c:v>1.1139992573338284E-3</c:v>
                </c:pt>
                <c:pt idx="146">
                  <c:v>2.9706646862235424E-3</c:v>
                </c:pt>
                <c:pt idx="147">
                  <c:v>4.0846639435573708E-3</c:v>
                </c:pt>
                <c:pt idx="148">
                  <c:v>5.1986632008911996E-3</c:v>
                </c:pt>
                <c:pt idx="149">
                  <c:v>7.4266617155588563E-3</c:v>
                </c:pt>
                <c:pt idx="150">
                  <c:v>8.9119940586706269E-3</c:v>
                </c:pt>
                <c:pt idx="151">
                  <c:v>8.9119940586706269E-3</c:v>
                </c:pt>
                <c:pt idx="152">
                  <c:v>1.0397326401782399E-2</c:v>
                </c:pt>
                <c:pt idx="153">
                  <c:v>1.188265874489417E-2</c:v>
                </c:pt>
                <c:pt idx="154">
                  <c:v>1.3367991088005942E-2</c:v>
                </c:pt>
                <c:pt idx="155">
                  <c:v>1.4853323431117713E-2</c:v>
                </c:pt>
                <c:pt idx="156">
                  <c:v>1.6338655774229483E-2</c:v>
                </c:pt>
                <c:pt idx="157">
                  <c:v>1.708132194578537E-2</c:v>
                </c:pt>
                <c:pt idx="158">
                  <c:v>1.708132194578537E-2</c:v>
                </c:pt>
                <c:pt idx="159">
                  <c:v>1.7823988117341254E-2</c:v>
                </c:pt>
                <c:pt idx="160">
                  <c:v>0</c:v>
                </c:pt>
                <c:pt idx="161">
                  <c:v>0</c:v>
                </c:pt>
                <c:pt idx="162">
                  <c:v>7.3126142595978066E-4</c:v>
                </c:pt>
                <c:pt idx="163">
                  <c:v>2.1937842778793418E-3</c:v>
                </c:pt>
                <c:pt idx="164">
                  <c:v>2.9250457038391227E-3</c:v>
                </c:pt>
                <c:pt idx="165">
                  <c:v>4.3875685557586835E-3</c:v>
                </c:pt>
                <c:pt idx="166">
                  <c:v>5.8500914076782453E-3</c:v>
                </c:pt>
                <c:pt idx="167">
                  <c:v>6.9469835466179162E-3</c:v>
                </c:pt>
                <c:pt idx="168">
                  <c:v>8.4095063985374779E-3</c:v>
                </c:pt>
                <c:pt idx="169">
                  <c:v>9.140767824497258E-3</c:v>
                </c:pt>
                <c:pt idx="170">
                  <c:v>9.872029250457038E-3</c:v>
                </c:pt>
                <c:pt idx="171">
                  <c:v>1.060329067641682E-2</c:v>
                </c:pt>
                <c:pt idx="172">
                  <c:v>1.13345521023766E-2</c:v>
                </c:pt>
                <c:pt idx="173">
                  <c:v>1.060329067641682E-2</c:v>
                </c:pt>
                <c:pt idx="174">
                  <c:v>1.060329067641682E-2</c:v>
                </c:pt>
                <c:pt idx="175">
                  <c:v>3.2906764168190127E-3</c:v>
                </c:pt>
                <c:pt idx="176">
                  <c:v>0</c:v>
                </c:pt>
              </c:numCache>
            </c:numRef>
          </c:val>
          <c:smooth val="0"/>
        </c:ser>
        <c:dLbls>
          <c:showLegendKey val="0"/>
          <c:showVal val="0"/>
          <c:showCatName val="0"/>
          <c:showSerName val="0"/>
          <c:showPercent val="0"/>
          <c:showBubbleSize val="0"/>
        </c:dLbls>
        <c:marker val="1"/>
        <c:smooth val="0"/>
        <c:axId val="294306520"/>
        <c:axId val="294301816"/>
      </c:lineChart>
      <c:lineChart>
        <c:grouping val="standard"/>
        <c:varyColors val="0"/>
        <c:ser>
          <c:idx val="1"/>
          <c:order val="1"/>
          <c:tx>
            <c:v>% semanal</c:v>
          </c:tx>
          <c:cat>
            <c:strRef>
              <c:f>Aficion_Patro!$A$3:$A$178</c:f>
              <c:strCache>
                <c:ptCount val="176"/>
                <c:pt idx="0">
                  <c:v>S2</c:v>
                </c:pt>
                <c:pt idx="1">
                  <c:v>S3</c:v>
                </c:pt>
                <c:pt idx="2">
                  <c:v>S4</c:v>
                </c:pt>
                <c:pt idx="3">
                  <c:v>S5</c:v>
                </c:pt>
                <c:pt idx="4">
                  <c:v>S6</c:v>
                </c:pt>
                <c:pt idx="5">
                  <c:v>S7</c:v>
                </c:pt>
                <c:pt idx="6">
                  <c:v>S8</c:v>
                </c:pt>
                <c:pt idx="7">
                  <c:v>S9</c:v>
                </c:pt>
                <c:pt idx="8">
                  <c:v>S10</c:v>
                </c:pt>
                <c:pt idx="9">
                  <c:v>S11</c:v>
                </c:pt>
                <c:pt idx="10">
                  <c:v>S12</c:v>
                </c:pt>
                <c:pt idx="11">
                  <c:v>S13</c:v>
                </c:pt>
                <c:pt idx="12">
                  <c:v>S14</c:v>
                </c:pt>
                <c:pt idx="13">
                  <c:v>S15</c:v>
                </c:pt>
                <c:pt idx="14">
                  <c:v>S16</c:v>
                </c:pt>
                <c:pt idx="15">
                  <c:v>S17</c:v>
                </c:pt>
                <c:pt idx="16">
                  <c:v>S18</c:v>
                </c:pt>
                <c:pt idx="17">
                  <c:v>S19</c:v>
                </c:pt>
                <c:pt idx="18">
                  <c:v>S20</c:v>
                </c:pt>
                <c:pt idx="19">
                  <c:v>S21</c:v>
                </c:pt>
                <c:pt idx="20">
                  <c:v>S22</c:v>
                </c:pt>
                <c:pt idx="21">
                  <c:v>S23</c:v>
                </c:pt>
                <c:pt idx="22">
                  <c:v>S24</c:v>
                </c:pt>
                <c:pt idx="23">
                  <c:v>S25</c:v>
                </c:pt>
                <c:pt idx="24">
                  <c:v>S26</c:v>
                </c:pt>
                <c:pt idx="25">
                  <c:v>S27</c:v>
                </c:pt>
                <c:pt idx="26">
                  <c:v>S28</c:v>
                </c:pt>
                <c:pt idx="27">
                  <c:v>S29</c:v>
                </c:pt>
                <c:pt idx="28">
                  <c:v>S30</c:v>
                </c:pt>
                <c:pt idx="29">
                  <c:v>S31</c:v>
                </c:pt>
                <c:pt idx="30">
                  <c:v>S32</c:v>
                </c:pt>
                <c:pt idx="31">
                  <c:v>S33</c:v>
                </c:pt>
                <c:pt idx="32">
                  <c:v>S34</c:v>
                </c:pt>
                <c:pt idx="33">
                  <c:v>S35</c:v>
                </c:pt>
                <c:pt idx="34">
                  <c:v>S36</c:v>
                </c:pt>
                <c:pt idx="35">
                  <c:v>S37</c:v>
                </c:pt>
                <c:pt idx="36">
                  <c:v>S38</c:v>
                </c:pt>
                <c:pt idx="37">
                  <c:v>S39</c:v>
                </c:pt>
                <c:pt idx="38">
                  <c:v>S40</c:v>
                </c:pt>
                <c:pt idx="39">
                  <c:v>S41</c:v>
                </c:pt>
                <c:pt idx="40">
                  <c:v>S42</c:v>
                </c:pt>
                <c:pt idx="41">
                  <c:v>S43</c:v>
                </c:pt>
                <c:pt idx="42">
                  <c:v>S44</c:v>
                </c:pt>
                <c:pt idx="43">
                  <c:v>S45</c:v>
                </c:pt>
                <c:pt idx="44">
                  <c:v>S46</c:v>
                </c:pt>
                <c:pt idx="45">
                  <c:v>S47</c:v>
                </c:pt>
                <c:pt idx="46">
                  <c:v>S48</c:v>
                </c:pt>
                <c:pt idx="47">
                  <c:v>S49</c:v>
                </c:pt>
                <c:pt idx="48">
                  <c:v>S50</c:v>
                </c:pt>
                <c:pt idx="49">
                  <c:v>S51</c:v>
                </c:pt>
                <c:pt idx="50">
                  <c:v>S52</c:v>
                </c:pt>
                <c:pt idx="51">
                  <c:v>S53</c:v>
                </c:pt>
                <c:pt idx="52">
                  <c:v>S54</c:v>
                </c:pt>
                <c:pt idx="53">
                  <c:v>S55</c:v>
                </c:pt>
                <c:pt idx="54">
                  <c:v>S56</c:v>
                </c:pt>
                <c:pt idx="55">
                  <c:v>S57</c:v>
                </c:pt>
                <c:pt idx="56">
                  <c:v>S58</c:v>
                </c:pt>
                <c:pt idx="57">
                  <c:v>S59</c:v>
                </c:pt>
                <c:pt idx="58">
                  <c:v>S60</c:v>
                </c:pt>
                <c:pt idx="59">
                  <c:v>S61</c:v>
                </c:pt>
                <c:pt idx="60">
                  <c:v>S62</c:v>
                </c:pt>
                <c:pt idx="61">
                  <c:v>S63</c:v>
                </c:pt>
                <c:pt idx="62">
                  <c:v>S64</c:v>
                </c:pt>
                <c:pt idx="63">
                  <c:v>S65</c:v>
                </c:pt>
                <c:pt idx="64">
                  <c:v>S66</c:v>
                </c:pt>
                <c:pt idx="65">
                  <c:v>S67</c:v>
                </c:pt>
                <c:pt idx="66">
                  <c:v>S68</c:v>
                </c:pt>
                <c:pt idx="67">
                  <c:v>S69</c:v>
                </c:pt>
                <c:pt idx="68">
                  <c:v>S70</c:v>
                </c:pt>
                <c:pt idx="69">
                  <c:v>S71</c:v>
                </c:pt>
                <c:pt idx="70">
                  <c:v>S72</c:v>
                </c:pt>
                <c:pt idx="71">
                  <c:v>S73</c:v>
                </c:pt>
                <c:pt idx="72">
                  <c:v>S74</c:v>
                </c:pt>
                <c:pt idx="73">
                  <c:v>S75</c:v>
                </c:pt>
                <c:pt idx="74">
                  <c:v>S76</c:v>
                </c:pt>
                <c:pt idx="75">
                  <c:v>S77</c:v>
                </c:pt>
                <c:pt idx="76">
                  <c:v>S78</c:v>
                </c:pt>
                <c:pt idx="77">
                  <c:v>S79</c:v>
                </c:pt>
                <c:pt idx="78">
                  <c:v>S80</c:v>
                </c:pt>
                <c:pt idx="79">
                  <c:v>S81</c:v>
                </c:pt>
                <c:pt idx="80">
                  <c:v>S82</c:v>
                </c:pt>
                <c:pt idx="81">
                  <c:v>S83</c:v>
                </c:pt>
                <c:pt idx="82">
                  <c:v>S84</c:v>
                </c:pt>
                <c:pt idx="83">
                  <c:v>S85</c:v>
                </c:pt>
                <c:pt idx="84">
                  <c:v>S86</c:v>
                </c:pt>
                <c:pt idx="85">
                  <c:v>S87</c:v>
                </c:pt>
                <c:pt idx="86">
                  <c:v>S88</c:v>
                </c:pt>
                <c:pt idx="87">
                  <c:v>S89</c:v>
                </c:pt>
                <c:pt idx="88">
                  <c:v>S90</c:v>
                </c:pt>
                <c:pt idx="89">
                  <c:v>S91</c:v>
                </c:pt>
                <c:pt idx="90">
                  <c:v>S92</c:v>
                </c:pt>
                <c:pt idx="91">
                  <c:v>S93</c:v>
                </c:pt>
                <c:pt idx="92">
                  <c:v>S94</c:v>
                </c:pt>
                <c:pt idx="93">
                  <c:v>S95</c:v>
                </c:pt>
                <c:pt idx="94">
                  <c:v>S96</c:v>
                </c:pt>
                <c:pt idx="95">
                  <c:v>S97</c:v>
                </c:pt>
                <c:pt idx="96">
                  <c:v>S98</c:v>
                </c:pt>
                <c:pt idx="97">
                  <c:v>S99</c:v>
                </c:pt>
                <c:pt idx="98">
                  <c:v>S100</c:v>
                </c:pt>
                <c:pt idx="99">
                  <c:v>S101</c:v>
                </c:pt>
                <c:pt idx="100">
                  <c:v>S102</c:v>
                </c:pt>
                <c:pt idx="101">
                  <c:v>S103</c:v>
                </c:pt>
                <c:pt idx="102">
                  <c:v>S104</c:v>
                </c:pt>
                <c:pt idx="103">
                  <c:v>S105</c:v>
                </c:pt>
                <c:pt idx="104">
                  <c:v>S106</c:v>
                </c:pt>
                <c:pt idx="105">
                  <c:v>S107</c:v>
                </c:pt>
                <c:pt idx="106">
                  <c:v>S108</c:v>
                </c:pt>
                <c:pt idx="107">
                  <c:v>S109</c:v>
                </c:pt>
                <c:pt idx="108">
                  <c:v>S110</c:v>
                </c:pt>
                <c:pt idx="109">
                  <c:v>S111</c:v>
                </c:pt>
                <c:pt idx="110">
                  <c:v>S112</c:v>
                </c:pt>
                <c:pt idx="111">
                  <c:v>S1</c:v>
                </c:pt>
                <c:pt idx="112">
                  <c:v>S2</c:v>
                </c:pt>
                <c:pt idx="113">
                  <c:v>S3</c:v>
                </c:pt>
                <c:pt idx="114">
                  <c:v>S4</c:v>
                </c:pt>
                <c:pt idx="115">
                  <c:v>S5</c:v>
                </c:pt>
                <c:pt idx="116">
                  <c:v>S6</c:v>
                </c:pt>
                <c:pt idx="117">
                  <c:v>S7</c:v>
                </c:pt>
                <c:pt idx="118">
                  <c:v>S8</c:v>
                </c:pt>
                <c:pt idx="119">
                  <c:v>S9</c:v>
                </c:pt>
                <c:pt idx="120">
                  <c:v>S10</c:v>
                </c:pt>
                <c:pt idx="121">
                  <c:v>S11</c:v>
                </c:pt>
                <c:pt idx="122">
                  <c:v>S12</c:v>
                </c:pt>
                <c:pt idx="123">
                  <c:v>S13</c:v>
                </c:pt>
                <c:pt idx="124">
                  <c:v>S14</c:v>
                </c:pt>
                <c:pt idx="125">
                  <c:v>S15</c:v>
                </c:pt>
                <c:pt idx="126">
                  <c:v>S16</c:v>
                </c:pt>
                <c:pt idx="127">
                  <c:v>S1</c:v>
                </c:pt>
                <c:pt idx="128">
                  <c:v>S2</c:v>
                </c:pt>
                <c:pt idx="129">
                  <c:v>S3</c:v>
                </c:pt>
                <c:pt idx="130">
                  <c:v>S4</c:v>
                </c:pt>
                <c:pt idx="131">
                  <c:v>S5</c:v>
                </c:pt>
                <c:pt idx="132">
                  <c:v>S6</c:v>
                </c:pt>
                <c:pt idx="133">
                  <c:v>S7</c:v>
                </c:pt>
                <c:pt idx="134">
                  <c:v>S8</c:v>
                </c:pt>
                <c:pt idx="135">
                  <c:v>S9</c:v>
                </c:pt>
                <c:pt idx="136">
                  <c:v>S10</c:v>
                </c:pt>
                <c:pt idx="137">
                  <c:v>S11</c:v>
                </c:pt>
                <c:pt idx="138">
                  <c:v>S12</c:v>
                </c:pt>
                <c:pt idx="139">
                  <c:v>S13</c:v>
                </c:pt>
                <c:pt idx="140">
                  <c:v>S14</c:v>
                </c:pt>
                <c:pt idx="141">
                  <c:v>S15</c:v>
                </c:pt>
                <c:pt idx="142">
                  <c:v>S16</c:v>
                </c:pt>
                <c:pt idx="143">
                  <c:v>S1</c:v>
                </c:pt>
                <c:pt idx="144">
                  <c:v>S2</c:v>
                </c:pt>
                <c:pt idx="145">
                  <c:v>S3</c:v>
                </c:pt>
                <c:pt idx="146">
                  <c:v>S4</c:v>
                </c:pt>
                <c:pt idx="147">
                  <c:v>S5</c:v>
                </c:pt>
                <c:pt idx="148">
                  <c:v>S6</c:v>
                </c:pt>
                <c:pt idx="149">
                  <c:v>S7</c:v>
                </c:pt>
                <c:pt idx="150">
                  <c:v>S8</c:v>
                </c:pt>
                <c:pt idx="151">
                  <c:v>S9</c:v>
                </c:pt>
                <c:pt idx="152">
                  <c:v>S10</c:v>
                </c:pt>
                <c:pt idx="153">
                  <c:v>S11</c:v>
                </c:pt>
                <c:pt idx="154">
                  <c:v>S12</c:v>
                </c:pt>
                <c:pt idx="155">
                  <c:v>S13</c:v>
                </c:pt>
                <c:pt idx="156">
                  <c:v>S14</c:v>
                </c:pt>
                <c:pt idx="157">
                  <c:v>S15</c:v>
                </c:pt>
                <c:pt idx="158">
                  <c:v>S16</c:v>
                </c:pt>
                <c:pt idx="159">
                  <c:v>S1</c:v>
                </c:pt>
                <c:pt idx="160">
                  <c:v>S2</c:v>
                </c:pt>
                <c:pt idx="161">
                  <c:v>S3</c:v>
                </c:pt>
                <c:pt idx="162">
                  <c:v>S4</c:v>
                </c:pt>
                <c:pt idx="163">
                  <c:v>S5</c:v>
                </c:pt>
                <c:pt idx="164">
                  <c:v>S6</c:v>
                </c:pt>
                <c:pt idx="165">
                  <c:v>S7</c:v>
                </c:pt>
                <c:pt idx="166">
                  <c:v>S8</c:v>
                </c:pt>
                <c:pt idx="167">
                  <c:v>S9</c:v>
                </c:pt>
                <c:pt idx="168">
                  <c:v>S10</c:v>
                </c:pt>
                <c:pt idx="169">
                  <c:v>S11</c:v>
                </c:pt>
                <c:pt idx="170">
                  <c:v>S12</c:v>
                </c:pt>
                <c:pt idx="171">
                  <c:v>S13</c:v>
                </c:pt>
                <c:pt idx="172">
                  <c:v>S14</c:v>
                </c:pt>
                <c:pt idx="173">
                  <c:v>S15</c:v>
                </c:pt>
                <c:pt idx="174">
                  <c:v>S16</c:v>
                </c:pt>
                <c:pt idx="175">
                  <c:v>S1</c:v>
                </c:pt>
              </c:strCache>
            </c:strRef>
          </c:cat>
          <c:val>
            <c:numRef>
              <c:f>Aficion_Patro!$F$2:$F$178</c:f>
              <c:numCache>
                <c:formatCode>0.0%</c:formatCode>
                <c:ptCount val="177"/>
                <c:pt idx="0">
                  <c:v>0</c:v>
                </c:pt>
                <c:pt idx="1">
                  <c:v>2.5225225225225224E-2</c:v>
                </c:pt>
                <c:pt idx="2">
                  <c:v>2.4604569420035149E-2</c:v>
                </c:pt>
                <c:pt idx="3">
                  <c:v>1.7152658662092625E-2</c:v>
                </c:pt>
                <c:pt idx="4">
                  <c:v>2.3608768971332208E-2</c:v>
                </c:pt>
                <c:pt idx="5">
                  <c:v>2.9654036243822075E-2</c:v>
                </c:pt>
                <c:pt idx="6">
                  <c:v>2.8799999999999999E-2</c:v>
                </c:pt>
                <c:pt idx="7">
                  <c:v>2.7993779160186624E-2</c:v>
                </c:pt>
                <c:pt idx="8">
                  <c:v>2.118003025718608E-2</c:v>
                </c:pt>
                <c:pt idx="9">
                  <c:v>2.6666666666666668E-2</c:v>
                </c:pt>
                <c:pt idx="10">
                  <c:v>2.3088023088023088E-2</c:v>
                </c:pt>
                <c:pt idx="11">
                  <c:v>2.2566995768688293E-2</c:v>
                </c:pt>
                <c:pt idx="12">
                  <c:v>2.2068965517241378E-2</c:v>
                </c:pt>
                <c:pt idx="13">
                  <c:v>2.1592442645074223E-2</c:v>
                </c:pt>
                <c:pt idx="14">
                  <c:v>2.1136063408190225E-2</c:v>
                </c:pt>
                <c:pt idx="15">
                  <c:v>2.0698576972833119E-2</c:v>
                </c:pt>
                <c:pt idx="16">
                  <c:v>0.12294043092522181</c:v>
                </c:pt>
                <c:pt idx="17">
                  <c:v>1.6930022573363433E-2</c:v>
                </c:pt>
                <c:pt idx="18">
                  <c:v>1.9977802441731411E-2</c:v>
                </c:pt>
                <c:pt idx="19">
                  <c:v>1.5233949945593036E-2</c:v>
                </c:pt>
                <c:pt idx="20">
                  <c:v>1.9292604501607719E-2</c:v>
                </c:pt>
                <c:pt idx="21">
                  <c:v>1.8927444794952682E-2</c:v>
                </c:pt>
                <c:pt idx="22">
                  <c:v>1.4447884416924664E-2</c:v>
                </c:pt>
                <c:pt idx="23">
                  <c:v>1.6276703967446592E-2</c:v>
                </c:pt>
                <c:pt idx="24">
                  <c:v>1.6016016016016016E-2</c:v>
                </c:pt>
                <c:pt idx="25">
                  <c:v>1.5763546798029555E-2</c:v>
                </c:pt>
                <c:pt idx="26">
                  <c:v>1.1639185257032008E-2</c:v>
                </c:pt>
                <c:pt idx="27">
                  <c:v>1.5340364333652923E-2</c:v>
                </c:pt>
                <c:pt idx="28">
                  <c:v>1.5108593012275733E-2</c:v>
                </c:pt>
                <c:pt idx="29">
                  <c:v>1.3023255813953489E-2</c:v>
                </c:pt>
                <c:pt idx="30">
                  <c:v>1.2855831037649219E-2</c:v>
                </c:pt>
                <c:pt idx="31">
                  <c:v>1.2692656391659111E-2</c:v>
                </c:pt>
                <c:pt idx="32">
                  <c:v>1.2533572068039392E-2</c:v>
                </c:pt>
                <c:pt idx="33">
                  <c:v>9.7259062776304164E-3</c:v>
                </c:pt>
                <c:pt idx="34">
                  <c:v>1.2259194395796848E-2</c:v>
                </c:pt>
                <c:pt idx="35">
                  <c:v>1.124567474048443E-2</c:v>
                </c:pt>
                <c:pt idx="36">
                  <c:v>8.5543199315654406E-3</c:v>
                </c:pt>
                <c:pt idx="37">
                  <c:v>1.1874469889737066E-2</c:v>
                </c:pt>
                <c:pt idx="38">
                  <c:v>1.0896898575020955E-2</c:v>
                </c:pt>
                <c:pt idx="39">
                  <c:v>9.9502487562189053E-3</c:v>
                </c:pt>
                <c:pt idx="40">
                  <c:v>4.9261083743842365E-3</c:v>
                </c:pt>
                <c:pt idx="41">
                  <c:v>9.8039215686274508E-3</c:v>
                </c:pt>
                <c:pt idx="42">
                  <c:v>9.7087378640776691E-3</c:v>
                </c:pt>
                <c:pt idx="43">
                  <c:v>8.0128205128205121E-3</c:v>
                </c:pt>
                <c:pt idx="44">
                  <c:v>7.9491255961844191E-3</c:v>
                </c:pt>
                <c:pt idx="45">
                  <c:v>9.4637223974763408E-3</c:v>
                </c:pt>
                <c:pt idx="46">
                  <c:v>9.3749999999999997E-3</c:v>
                </c:pt>
                <c:pt idx="47">
                  <c:v>-2.089783281733746E-2</c:v>
                </c:pt>
                <c:pt idx="48">
                  <c:v>0.11146245059288537</c:v>
                </c:pt>
                <c:pt idx="49">
                  <c:v>7.8236130867709811E-3</c:v>
                </c:pt>
                <c:pt idx="50">
                  <c:v>9.8800282286520824E-3</c:v>
                </c:pt>
                <c:pt idx="51">
                  <c:v>7.6869322152341019E-3</c:v>
                </c:pt>
                <c:pt idx="52">
                  <c:v>9.7087378640776691E-3</c:v>
                </c:pt>
                <c:pt idx="53">
                  <c:v>9.6153846153846159E-3</c:v>
                </c:pt>
                <c:pt idx="54">
                  <c:v>9.5238095238095247E-3</c:v>
                </c:pt>
                <c:pt idx="55">
                  <c:v>8.0862533692722376E-3</c:v>
                </c:pt>
                <c:pt idx="56">
                  <c:v>8.0213903743315516E-3</c:v>
                </c:pt>
                <c:pt idx="57">
                  <c:v>7.9575596816976128E-3</c:v>
                </c:pt>
                <c:pt idx="58">
                  <c:v>7.8947368421052634E-3</c:v>
                </c:pt>
                <c:pt idx="59">
                  <c:v>7.832898172323759E-3</c:v>
                </c:pt>
                <c:pt idx="60">
                  <c:v>7.7720207253886009E-3</c:v>
                </c:pt>
                <c:pt idx="61">
                  <c:v>3.8560411311053984E-3</c:v>
                </c:pt>
                <c:pt idx="62">
                  <c:v>7.6824583866837385E-3</c:v>
                </c:pt>
                <c:pt idx="63">
                  <c:v>5.0825921219822112E-3</c:v>
                </c:pt>
                <c:pt idx="64">
                  <c:v>0.106826801517067</c:v>
                </c:pt>
                <c:pt idx="65">
                  <c:v>4.5688178183894918E-3</c:v>
                </c:pt>
                <c:pt idx="66">
                  <c:v>6.8220579874928933E-3</c:v>
                </c:pt>
                <c:pt idx="67">
                  <c:v>5.6465273856578201E-3</c:v>
                </c:pt>
                <c:pt idx="68">
                  <c:v>6.7377877596855699E-3</c:v>
                </c:pt>
                <c:pt idx="69">
                  <c:v>6.6926938092582268E-3</c:v>
                </c:pt>
                <c:pt idx="70">
                  <c:v>1.10803324099723E-3</c:v>
                </c:pt>
                <c:pt idx="71">
                  <c:v>0</c:v>
                </c:pt>
                <c:pt idx="72">
                  <c:v>1.1068068622025456E-3</c:v>
                </c:pt>
                <c:pt idx="73">
                  <c:v>3.3167495854063019E-3</c:v>
                </c:pt>
                <c:pt idx="74">
                  <c:v>1.1019283746556473E-3</c:v>
                </c:pt>
                <c:pt idx="75">
                  <c:v>4.4028618602091358E-3</c:v>
                </c:pt>
                <c:pt idx="76">
                  <c:v>6.5753424657534251E-3</c:v>
                </c:pt>
                <c:pt idx="77">
                  <c:v>6.5323897659226998E-3</c:v>
                </c:pt>
                <c:pt idx="78">
                  <c:v>6.4899945916711737E-3</c:v>
                </c:pt>
                <c:pt idx="79">
                  <c:v>6.4481461579795809E-3</c:v>
                </c:pt>
                <c:pt idx="80">
                  <c:v>4.8051254671649763E-3</c:v>
                </c:pt>
                <c:pt idx="81">
                  <c:v>3.7194473963868225E-3</c:v>
                </c:pt>
                <c:pt idx="82">
                  <c:v>3.1762837480148226E-3</c:v>
                </c:pt>
                <c:pt idx="83">
                  <c:v>4.221635883905013E-3</c:v>
                </c:pt>
                <c:pt idx="84">
                  <c:v>5.254860746190226E-3</c:v>
                </c:pt>
                <c:pt idx="85">
                  <c:v>5.2273915316257188E-3</c:v>
                </c:pt>
                <c:pt idx="86">
                  <c:v>5.2002080083203327E-3</c:v>
                </c:pt>
                <c:pt idx="87">
                  <c:v>5.1733057423693739E-3</c:v>
                </c:pt>
                <c:pt idx="88">
                  <c:v>5.1466803911477095E-3</c:v>
                </c:pt>
                <c:pt idx="89">
                  <c:v>5.1203277009728623E-3</c:v>
                </c:pt>
                <c:pt idx="90">
                  <c:v>4.0753948038716251E-3</c:v>
                </c:pt>
                <c:pt idx="91">
                  <c:v>2.0294266869609334E-3</c:v>
                </c:pt>
                <c:pt idx="92">
                  <c:v>3.0379746835443038E-3</c:v>
                </c:pt>
                <c:pt idx="93">
                  <c:v>0</c:v>
                </c:pt>
                <c:pt idx="94">
                  <c:v>2.0191822311963654E-3</c:v>
                </c:pt>
                <c:pt idx="95">
                  <c:v>0</c:v>
                </c:pt>
                <c:pt idx="96">
                  <c:v>0.10125944584382872</c:v>
                </c:pt>
                <c:pt idx="97">
                  <c:v>2.2872827081427266E-3</c:v>
                </c:pt>
                <c:pt idx="98">
                  <c:v>9.1282519397535371E-4</c:v>
                </c:pt>
                <c:pt idx="99">
                  <c:v>0</c:v>
                </c:pt>
                <c:pt idx="100">
                  <c:v>0</c:v>
                </c:pt>
                <c:pt idx="101">
                  <c:v>3.6479708162334701E-3</c:v>
                </c:pt>
                <c:pt idx="102">
                  <c:v>1.817355747387551E-3</c:v>
                </c:pt>
                <c:pt idx="103">
                  <c:v>4.5351473922902496E-3</c:v>
                </c:pt>
                <c:pt idx="104">
                  <c:v>4.5146726862302479E-3</c:v>
                </c:pt>
                <c:pt idx="105">
                  <c:v>2.696629213483146E-3</c:v>
                </c:pt>
                <c:pt idx="106">
                  <c:v>4.4822949350067235E-3</c:v>
                </c:pt>
                <c:pt idx="107">
                  <c:v>4.4622936189201252E-3</c:v>
                </c:pt>
                <c:pt idx="108">
                  <c:v>4.4424700133274099E-3</c:v>
                </c:pt>
                <c:pt idx="109">
                  <c:v>3.5382574082264487E-3</c:v>
                </c:pt>
                <c:pt idx="110">
                  <c:v>3.5257822829440283E-3</c:v>
                </c:pt>
                <c:pt idx="111">
                  <c:v>3.513394817742644E-3</c:v>
                </c:pt>
                <c:pt idx="112">
                  <c:v>5.2516411378555799E-3</c:v>
                </c:pt>
                <c:pt idx="113">
                  <c:v>1.3060513713539399E-3</c:v>
                </c:pt>
                <c:pt idx="114">
                  <c:v>3.0434782608695652E-3</c:v>
                </c:pt>
                <c:pt idx="115">
                  <c:v>1.7338534893801473E-3</c:v>
                </c:pt>
                <c:pt idx="116">
                  <c:v>3.4617048896581565E-3</c:v>
                </c:pt>
                <c:pt idx="117">
                  <c:v>3.0185424752048298E-3</c:v>
                </c:pt>
                <c:pt idx="118">
                  <c:v>3.4393809114359416E-3</c:v>
                </c:pt>
                <c:pt idx="119">
                  <c:v>2.5706940874035988E-3</c:v>
                </c:pt>
                <c:pt idx="120">
                  <c:v>1.7094017094017094E-3</c:v>
                </c:pt>
                <c:pt idx="121">
                  <c:v>2.5597269624573378E-3</c:v>
                </c:pt>
                <c:pt idx="122">
                  <c:v>2.553191489361702E-3</c:v>
                </c:pt>
                <c:pt idx="123">
                  <c:v>1.697792869269949E-3</c:v>
                </c:pt>
                <c:pt idx="124">
                  <c:v>2.542372881355932E-3</c:v>
                </c:pt>
                <c:pt idx="125">
                  <c:v>-8.4530853761622987E-4</c:v>
                </c:pt>
                <c:pt idx="126">
                  <c:v>0</c:v>
                </c:pt>
                <c:pt idx="127">
                  <c:v>2.5380710659898475E-3</c:v>
                </c:pt>
                <c:pt idx="128">
                  <c:v>8.438818565400844E-4</c:v>
                </c:pt>
                <c:pt idx="129">
                  <c:v>1.6863406408094434E-3</c:v>
                </c:pt>
                <c:pt idx="130">
                  <c:v>1.2626262626262627E-3</c:v>
                </c:pt>
                <c:pt idx="131">
                  <c:v>2.5220680958385876E-3</c:v>
                </c:pt>
                <c:pt idx="132">
                  <c:v>0</c:v>
                </c:pt>
                <c:pt idx="133">
                  <c:v>1.6771488469601676E-3</c:v>
                </c:pt>
                <c:pt idx="134">
                  <c:v>2.5115110925073253E-3</c:v>
                </c:pt>
                <c:pt idx="135">
                  <c:v>1.6701461377870565E-3</c:v>
                </c:pt>
                <c:pt idx="136">
                  <c:v>1.6673614005835765E-3</c:v>
                </c:pt>
                <c:pt idx="137">
                  <c:v>2.4968789013732834E-3</c:v>
                </c:pt>
                <c:pt idx="138">
                  <c:v>2.4906600249066002E-3</c:v>
                </c:pt>
                <c:pt idx="139">
                  <c:v>2.4844720496894411E-3</c:v>
                </c:pt>
                <c:pt idx="140">
                  <c:v>8.2610491532424622E-4</c:v>
                </c:pt>
                <c:pt idx="141">
                  <c:v>8.2542302930251759E-4</c:v>
                </c:pt>
                <c:pt idx="142">
                  <c:v>2.4742268041237111E-3</c:v>
                </c:pt>
                <c:pt idx="143">
                  <c:v>0.13958590429178672</c:v>
                </c:pt>
                <c:pt idx="144">
                  <c:v>-2.7914811695343572E-2</c:v>
                </c:pt>
                <c:pt idx="145">
                  <c:v>1.1139992573338284E-3</c:v>
                </c:pt>
                <c:pt idx="146">
                  <c:v>1.85459940652819E-3</c:v>
                </c:pt>
                <c:pt idx="147">
                  <c:v>1.1106997408367272E-3</c:v>
                </c:pt>
                <c:pt idx="148">
                  <c:v>1.1094674556213018E-3</c:v>
                </c:pt>
                <c:pt idx="149">
                  <c:v>2.216475803472479E-3</c:v>
                </c:pt>
                <c:pt idx="150">
                  <c:v>1.474382602285293E-3</c:v>
                </c:pt>
                <c:pt idx="151">
                  <c:v>0</c:v>
                </c:pt>
                <c:pt idx="152">
                  <c:v>1.472211998527788E-3</c:v>
                </c:pt>
                <c:pt idx="153">
                  <c:v>1.4700477765527381E-3</c:v>
                </c:pt>
                <c:pt idx="154">
                  <c:v>1.4678899082568807E-3</c:v>
                </c:pt>
                <c:pt idx="155">
                  <c:v>1.4657383657017222E-3</c:v>
                </c:pt>
                <c:pt idx="156">
                  <c:v>1.4635931211123307E-3</c:v>
                </c:pt>
                <c:pt idx="157">
                  <c:v>7.3072707343807086E-4</c:v>
                </c:pt>
                <c:pt idx="158">
                  <c:v>0</c:v>
                </c:pt>
                <c:pt idx="159">
                  <c:v>7.3019350127783865E-4</c:v>
                </c:pt>
                <c:pt idx="160">
                  <c:v>-2.1889821233126595E-3</c:v>
                </c:pt>
                <c:pt idx="161">
                  <c:v>0</c:v>
                </c:pt>
                <c:pt idx="162">
                  <c:v>7.3126142595978066E-4</c:v>
                </c:pt>
                <c:pt idx="163">
                  <c:v>1.4614541468761417E-3</c:v>
                </c:pt>
                <c:pt idx="164">
                  <c:v>7.2966070777088653E-4</c:v>
                </c:pt>
                <c:pt idx="165">
                  <c:v>1.4582573824279985E-3</c:v>
                </c:pt>
                <c:pt idx="166">
                  <c:v>1.4561339643247178E-3</c:v>
                </c:pt>
                <c:pt idx="167">
                  <c:v>1.0905125408942203E-3</c:v>
                </c:pt>
                <c:pt idx="168">
                  <c:v>1.4524328249818446E-3</c:v>
                </c:pt>
                <c:pt idx="169">
                  <c:v>7.2516316171138508E-4</c:v>
                </c:pt>
                <c:pt idx="170">
                  <c:v>7.246376811594203E-4</c:v>
                </c:pt>
                <c:pt idx="171">
                  <c:v>7.2411296162201298E-4</c:v>
                </c:pt>
                <c:pt idx="172">
                  <c:v>7.2358900144717795E-4</c:v>
                </c:pt>
                <c:pt idx="173">
                  <c:v>-7.2306579898770787E-4</c:v>
                </c:pt>
                <c:pt idx="174">
                  <c:v>0</c:v>
                </c:pt>
                <c:pt idx="175">
                  <c:v>-7.2358900144717797E-3</c:v>
                </c:pt>
                <c:pt idx="176">
                  <c:v>-5.8309037900874635E-3</c:v>
                </c:pt>
              </c:numCache>
            </c:numRef>
          </c:val>
          <c:smooth val="0"/>
        </c:ser>
        <c:dLbls>
          <c:showLegendKey val="0"/>
          <c:showVal val="0"/>
          <c:showCatName val="0"/>
          <c:showSerName val="0"/>
          <c:showPercent val="0"/>
          <c:showBubbleSize val="0"/>
        </c:dLbls>
        <c:marker val="1"/>
        <c:smooth val="0"/>
        <c:axId val="294303384"/>
        <c:axId val="294307304"/>
      </c:lineChart>
      <c:catAx>
        <c:axId val="294306520"/>
        <c:scaling>
          <c:orientation val="minMax"/>
        </c:scaling>
        <c:delete val="0"/>
        <c:axPos val="b"/>
        <c:numFmt formatCode="General" sourceLinked="1"/>
        <c:majorTickMark val="out"/>
        <c:minorTickMark val="none"/>
        <c:tickLblPos val="nextTo"/>
        <c:txPr>
          <a:bodyPr rot="-5400000" vert="horz"/>
          <a:lstStyle/>
          <a:p>
            <a:pPr>
              <a:defRPr/>
            </a:pPr>
            <a:endParaRPr lang="es-ES"/>
          </a:p>
        </c:txPr>
        <c:crossAx val="294301816"/>
        <c:crosses val="autoZero"/>
        <c:auto val="1"/>
        <c:lblAlgn val="ctr"/>
        <c:lblOffset val="100"/>
        <c:noMultiLvlLbl val="0"/>
      </c:catAx>
      <c:valAx>
        <c:axId val="294301816"/>
        <c:scaling>
          <c:orientation val="minMax"/>
        </c:scaling>
        <c:delete val="0"/>
        <c:axPos val="l"/>
        <c:majorGridlines/>
        <c:numFmt formatCode="General" sourceLinked="1"/>
        <c:majorTickMark val="out"/>
        <c:minorTickMark val="none"/>
        <c:tickLblPos val="nextTo"/>
        <c:crossAx val="294306520"/>
        <c:crosses val="autoZero"/>
        <c:crossBetween val="between"/>
      </c:valAx>
      <c:valAx>
        <c:axId val="294307304"/>
        <c:scaling>
          <c:orientation val="minMax"/>
        </c:scaling>
        <c:delete val="0"/>
        <c:axPos val="r"/>
        <c:numFmt formatCode="0.0%" sourceLinked="1"/>
        <c:majorTickMark val="out"/>
        <c:minorTickMark val="none"/>
        <c:tickLblPos val="nextTo"/>
        <c:crossAx val="294303384"/>
        <c:crosses val="max"/>
        <c:crossBetween val="between"/>
      </c:valAx>
      <c:catAx>
        <c:axId val="294303384"/>
        <c:scaling>
          <c:orientation val="minMax"/>
        </c:scaling>
        <c:delete val="1"/>
        <c:axPos val="b"/>
        <c:numFmt formatCode="General" sourceLinked="1"/>
        <c:majorTickMark val="out"/>
        <c:minorTickMark val="none"/>
        <c:tickLblPos val="none"/>
        <c:crossAx val="294307304"/>
        <c:crosses val="autoZero"/>
        <c:auto val="1"/>
        <c:lblAlgn val="ctr"/>
        <c:lblOffset val="100"/>
        <c:noMultiLvlLbl val="0"/>
      </c:cat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c:v>
          </c:tx>
          <c:marker>
            <c:symbol val="none"/>
          </c:marker>
          <c:cat>
            <c:numRef>
              <c:f>Denomin_Forma!$E$12:$E$26</c:f>
              <c:numCache>
                <c:formatCode>General</c:formatCode>
                <c:ptCount val="15"/>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numCache>
            </c:numRef>
          </c:cat>
          <c:val>
            <c:numRef>
              <c:f>Denomin_Forma!$F$12:$F$26</c:f>
              <c:numCache>
                <c:formatCode>0.0%</c:formatCode>
                <c:ptCount val="15"/>
                <c:pt idx="0">
                  <c:v>0</c:v>
                </c:pt>
                <c:pt idx="1">
                  <c:v>0.2672612419124244</c:v>
                </c:pt>
                <c:pt idx="2">
                  <c:v>0.3779644730092272</c:v>
                </c:pt>
                <c:pt idx="3">
                  <c:v>0.46291004988627571</c:v>
                </c:pt>
                <c:pt idx="4">
                  <c:v>0.53452248382484879</c:v>
                </c:pt>
                <c:pt idx="5">
                  <c:v>0.59761430466719678</c:v>
                </c:pt>
                <c:pt idx="6">
                  <c:v>0.65465367070797709</c:v>
                </c:pt>
                <c:pt idx="7">
                  <c:v>0.70710678118654757</c:v>
                </c:pt>
                <c:pt idx="8">
                  <c:v>0.7559289460184544</c:v>
                </c:pt>
                <c:pt idx="9">
                  <c:v>0.80178372573727319</c:v>
                </c:pt>
                <c:pt idx="10">
                  <c:v>0.84515425472851657</c:v>
                </c:pt>
                <c:pt idx="11">
                  <c:v>0.88640526042791834</c:v>
                </c:pt>
                <c:pt idx="12">
                  <c:v>0.92582009977255142</c:v>
                </c:pt>
                <c:pt idx="13">
                  <c:v>0.96362411165943151</c:v>
                </c:pt>
                <c:pt idx="14">
                  <c:v>1</c:v>
                </c:pt>
              </c:numCache>
            </c:numRef>
          </c:val>
          <c:smooth val="0"/>
        </c:ser>
        <c:dLbls>
          <c:showLegendKey val="0"/>
          <c:showVal val="0"/>
          <c:showCatName val="0"/>
          <c:showSerName val="0"/>
          <c:showPercent val="0"/>
          <c:showBubbleSize val="0"/>
        </c:dLbls>
        <c:smooth val="0"/>
        <c:axId val="294305344"/>
        <c:axId val="294307696"/>
      </c:lineChart>
      <c:catAx>
        <c:axId val="294305344"/>
        <c:scaling>
          <c:orientation val="minMax"/>
        </c:scaling>
        <c:delete val="0"/>
        <c:axPos val="b"/>
        <c:numFmt formatCode="General" sourceLinked="1"/>
        <c:majorTickMark val="out"/>
        <c:minorTickMark val="none"/>
        <c:tickLblPos val="nextTo"/>
        <c:crossAx val="294307696"/>
        <c:crosses val="autoZero"/>
        <c:auto val="1"/>
        <c:lblAlgn val="ctr"/>
        <c:lblOffset val="100"/>
        <c:noMultiLvlLbl val="0"/>
      </c:catAx>
      <c:valAx>
        <c:axId val="294307696"/>
        <c:scaling>
          <c:orientation val="minMax"/>
          <c:max val="1"/>
        </c:scaling>
        <c:delete val="0"/>
        <c:axPos val="l"/>
        <c:majorGridlines/>
        <c:numFmt formatCode="0.0%" sourceLinked="1"/>
        <c:majorTickMark val="out"/>
        <c:minorTickMark val="none"/>
        <c:tickLblPos val="nextTo"/>
        <c:crossAx val="294305344"/>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Fidelidad!$E$2:$E$50</c:f>
              <c:numCache>
                <c:formatCode>General</c:formatCode>
                <c:ptCount val="49"/>
                <c:pt idx="0">
                  <c:v>0</c:v>
                </c:pt>
                <c:pt idx="1">
                  <c:v>7</c:v>
                </c:pt>
                <c:pt idx="2">
                  <c:v>14</c:v>
                </c:pt>
                <c:pt idx="3">
                  <c:v>21</c:v>
                </c:pt>
                <c:pt idx="4">
                  <c:v>28</c:v>
                </c:pt>
                <c:pt idx="5">
                  <c:v>35</c:v>
                </c:pt>
                <c:pt idx="6">
                  <c:v>42</c:v>
                </c:pt>
                <c:pt idx="7">
                  <c:v>49</c:v>
                </c:pt>
                <c:pt idx="8">
                  <c:v>56</c:v>
                </c:pt>
                <c:pt idx="9">
                  <c:v>63</c:v>
                </c:pt>
                <c:pt idx="10">
                  <c:v>70</c:v>
                </c:pt>
                <c:pt idx="11">
                  <c:v>77</c:v>
                </c:pt>
                <c:pt idx="12">
                  <c:v>84</c:v>
                </c:pt>
                <c:pt idx="13">
                  <c:v>91</c:v>
                </c:pt>
                <c:pt idx="14">
                  <c:v>98</c:v>
                </c:pt>
                <c:pt idx="15">
                  <c:v>105</c:v>
                </c:pt>
                <c:pt idx="16">
                  <c:v>112</c:v>
                </c:pt>
                <c:pt idx="17">
                  <c:v>119</c:v>
                </c:pt>
                <c:pt idx="18">
                  <c:v>126</c:v>
                </c:pt>
                <c:pt idx="19">
                  <c:v>133</c:v>
                </c:pt>
                <c:pt idx="20">
                  <c:v>140</c:v>
                </c:pt>
                <c:pt idx="21">
                  <c:v>147</c:v>
                </c:pt>
                <c:pt idx="22">
                  <c:v>154</c:v>
                </c:pt>
                <c:pt idx="23">
                  <c:v>161</c:v>
                </c:pt>
                <c:pt idx="24">
                  <c:v>168</c:v>
                </c:pt>
                <c:pt idx="25">
                  <c:v>175</c:v>
                </c:pt>
                <c:pt idx="26">
                  <c:v>182</c:v>
                </c:pt>
                <c:pt idx="27">
                  <c:v>189</c:v>
                </c:pt>
                <c:pt idx="28">
                  <c:v>196</c:v>
                </c:pt>
                <c:pt idx="29">
                  <c:v>203</c:v>
                </c:pt>
                <c:pt idx="30">
                  <c:v>210</c:v>
                </c:pt>
                <c:pt idx="31">
                  <c:v>217</c:v>
                </c:pt>
                <c:pt idx="32">
                  <c:v>224</c:v>
                </c:pt>
                <c:pt idx="33">
                  <c:v>231</c:v>
                </c:pt>
                <c:pt idx="34">
                  <c:v>238</c:v>
                </c:pt>
                <c:pt idx="35">
                  <c:v>245</c:v>
                </c:pt>
                <c:pt idx="36">
                  <c:v>252</c:v>
                </c:pt>
                <c:pt idx="37">
                  <c:v>259</c:v>
                </c:pt>
                <c:pt idx="38">
                  <c:v>266</c:v>
                </c:pt>
                <c:pt idx="39">
                  <c:v>273</c:v>
                </c:pt>
                <c:pt idx="40">
                  <c:v>280</c:v>
                </c:pt>
                <c:pt idx="41">
                  <c:v>287</c:v>
                </c:pt>
                <c:pt idx="42">
                  <c:v>294</c:v>
                </c:pt>
                <c:pt idx="43">
                  <c:v>301</c:v>
                </c:pt>
                <c:pt idx="44">
                  <c:v>308</c:v>
                </c:pt>
                <c:pt idx="45">
                  <c:v>315</c:v>
                </c:pt>
                <c:pt idx="46">
                  <c:v>322</c:v>
                </c:pt>
                <c:pt idx="47">
                  <c:v>329</c:v>
                </c:pt>
                <c:pt idx="48">
                  <c:v>336</c:v>
                </c:pt>
              </c:numCache>
            </c:numRef>
          </c:cat>
          <c:val>
            <c:numRef>
              <c:f>Fidelidad!$F$2:$F$50</c:f>
              <c:numCache>
                <c:formatCode>0.00</c:formatCode>
                <c:ptCount val="49"/>
                <c:pt idx="0">
                  <c:v>0</c:v>
                </c:pt>
                <c:pt idx="1">
                  <c:v>8.394708266038052E-2</c:v>
                </c:pt>
                <c:pt idx="2">
                  <c:v>0.13081718674960124</c:v>
                </c:pt>
                <c:pt idx="3">
                  <c:v>0.16957554093095897</c:v>
                </c:pt>
                <c:pt idx="4">
                  <c:v>0.20385623665224431</c:v>
                </c:pt>
                <c:pt idx="5">
                  <c:v>0.23515077307285162</c:v>
                </c:pt>
                <c:pt idx="6">
                  <c:v>0.26425451014034512</c:v>
                </c:pt>
                <c:pt idx="7">
                  <c:v>0.29165427976090952</c:v>
                </c:pt>
                <c:pt idx="8">
                  <c:v>0.31767511788463476</c:v>
                </c:pt>
                <c:pt idx="9">
                  <c:v>0.34254750934422762</c:v>
                </c:pt>
                <c:pt idx="10">
                  <c:v>0.36644230651630028</c:v>
                </c:pt>
                <c:pt idx="11">
                  <c:v>0.38949055134365018</c:v>
                </c:pt>
                <c:pt idx="12">
                  <c:v>0.4117955086337865</c:v>
                </c:pt>
                <c:pt idx="13">
                  <c:v>0.43344036514721096</c:v>
                </c:pt>
                <c:pt idx="14">
                  <c:v>0.45449336859218992</c:v>
                </c:pt>
                <c:pt idx="15">
                  <c:v>0.47501137955544109</c:v>
                </c:pt>
                <c:pt idx="16">
                  <c:v>0.49504239939036226</c:v>
                </c:pt>
                <c:pt idx="17">
                  <c:v>0.51462741468122808</c:v>
                </c:pt>
                <c:pt idx="18">
                  <c:v>0.53380177226389258</c:v>
                </c:pt>
                <c:pt idx="19">
                  <c:v>0.55259622364302807</c:v>
                </c:pt>
                <c:pt idx="20">
                  <c:v>0.57103773145319392</c:v>
                </c:pt>
                <c:pt idx="21">
                  <c:v>0.58915010132481105</c:v>
                </c:pt>
                <c:pt idx="22">
                  <c:v>0.60695448343882286</c:v>
                </c:pt>
                <c:pt idx="23">
                  <c:v>0.62446977532493753</c:v>
                </c:pt>
                <c:pt idx="24">
                  <c:v>0.64171294878145202</c:v>
                </c:pt>
                <c:pt idx="25">
                  <c:v>0.65869931776506041</c:v>
                </c:pt>
                <c:pt idx="26">
                  <c:v>0.6754427598356405</c:v>
                </c:pt>
                <c:pt idx="27">
                  <c:v>0.69195590067854806</c:v>
                </c:pt>
                <c:pt idx="28">
                  <c:v>0.70825026899523646</c:v>
                </c:pt>
                <c:pt idx="29">
                  <c:v>0.72433642740518545</c:v>
                </c:pt>
                <c:pt idx="30">
                  <c:v>0.74022408377053894</c:v>
                </c:pt>
                <c:pt idx="31">
                  <c:v>0.75592218642406095</c:v>
                </c:pt>
                <c:pt idx="32">
                  <c:v>0.77143900607023363</c:v>
                </c:pt>
                <c:pt idx="33">
                  <c:v>0.78678220658129916</c:v>
                </c:pt>
                <c:pt idx="34">
                  <c:v>0.8019589064837378</c:v>
                </c:pt>
                <c:pt idx="35">
                  <c:v>0.81697573259626566</c:v>
                </c:pt>
                <c:pt idx="36">
                  <c:v>0.83183886701605136</c:v>
                </c:pt>
                <c:pt idx="37">
                  <c:v>0.84655408843930868</c:v>
                </c:pt>
                <c:pt idx="38">
                  <c:v>0.86112680863359892</c:v>
                </c:pt>
                <c:pt idx="39">
                  <c:v>0.87556210474292062</c:v>
                </c:pt>
                <c:pt idx="40">
                  <c:v>0.88986474799602622</c:v>
                </c:pt>
                <c:pt idx="41">
                  <c:v>0.90403922929805736</c:v>
                </c:pt>
                <c:pt idx="42">
                  <c:v>0.91808978211137449</c:v>
                </c:pt>
                <c:pt idx="43">
                  <c:v>0.93202040297026145</c:v>
                </c:pt>
                <c:pt idx="44">
                  <c:v>0.94583486992333232</c:v>
                </c:pt>
                <c:pt idx="45">
                  <c:v>0.95953675915519743</c:v>
                </c:pt>
                <c:pt idx="46">
                  <c:v>0.97312946000348366</c:v>
                </c:pt>
                <c:pt idx="47">
                  <c:v>0.98661618855753441</c:v>
                </c:pt>
                <c:pt idx="48">
                  <c:v>1</c:v>
                </c:pt>
              </c:numCache>
            </c:numRef>
          </c:val>
          <c:smooth val="0"/>
        </c:ser>
        <c:dLbls>
          <c:showLegendKey val="0"/>
          <c:showVal val="0"/>
          <c:showCatName val="0"/>
          <c:showSerName val="0"/>
          <c:showPercent val="0"/>
          <c:showBubbleSize val="0"/>
        </c:dLbls>
        <c:smooth val="0"/>
        <c:axId val="294306912"/>
        <c:axId val="294308480"/>
      </c:lineChart>
      <c:catAx>
        <c:axId val="294306912"/>
        <c:scaling>
          <c:orientation val="minMax"/>
        </c:scaling>
        <c:delete val="0"/>
        <c:axPos val="b"/>
        <c:numFmt formatCode="General" sourceLinked="1"/>
        <c:majorTickMark val="out"/>
        <c:minorTickMark val="none"/>
        <c:tickLblPos val="nextTo"/>
        <c:crossAx val="294308480"/>
        <c:crosses val="autoZero"/>
        <c:auto val="1"/>
        <c:lblAlgn val="ctr"/>
        <c:lblOffset val="100"/>
        <c:noMultiLvlLbl val="0"/>
      </c:catAx>
      <c:valAx>
        <c:axId val="294308480"/>
        <c:scaling>
          <c:orientation val="minMax"/>
          <c:max val="1"/>
        </c:scaling>
        <c:delete val="0"/>
        <c:axPos val="l"/>
        <c:majorGridlines/>
        <c:numFmt formatCode="0.00" sourceLinked="1"/>
        <c:majorTickMark val="out"/>
        <c:minorTickMark val="none"/>
        <c:tickLblPos val="nextTo"/>
        <c:crossAx val="294306912"/>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EconomiaT36!$C$6</c:f>
              <c:numCache>
                <c:formatCode>_-* #,##0\ [$€-C0A]_-;\-* #,##0\ [$€-C0A]_-;_-* "-"??\ [$€-C0A]_-;_-@_-</c:formatCode>
                <c:ptCount val="1"/>
                <c:pt idx="0">
                  <c:v>888988</c:v>
                </c:pt>
              </c:numCache>
            </c:numRef>
          </c:val>
        </c:ser>
        <c:ser>
          <c:idx val="1"/>
          <c:order val="1"/>
          <c:tx>
            <c:strRef>
              <c:f>EconomiaT36!$B$7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EconomiaT36!$C$7</c:f>
              <c:numCache>
                <c:formatCode>_-* #,##0\ [$€-C0A]_-;\-* #,##0\ [$€-C0A]_-;_-* "-"??\ [$€-C0A]_-;_-@_-</c:formatCode>
                <c:ptCount val="1"/>
                <c:pt idx="0">
                  <c:v>731385</c:v>
                </c:pt>
              </c:numCache>
            </c:numRef>
          </c:val>
        </c:ser>
        <c:ser>
          <c:idx val="2"/>
          <c:order val="2"/>
          <c:tx>
            <c:strRef>
              <c:f>EconomiaT36!$B$8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EconomiaT36!$C$8</c:f>
              <c:numCache>
                <c:formatCode>_-* #,##0\ [$€-C0A]_-;\-* #,##0\ [$€-C0A]_-;_-* "-"??\ [$€-C0A]_-;_-@_-</c:formatCode>
                <c:ptCount val="1"/>
                <c:pt idx="0">
                  <c:v>5770643</c:v>
                </c:pt>
              </c:numCache>
            </c:numRef>
          </c:val>
        </c:ser>
        <c:ser>
          <c:idx val="3"/>
          <c:order val="3"/>
          <c:tx>
            <c:strRef>
              <c:f>EconomiaT36!$B$9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EconomiaT36!$C$9</c:f>
              <c:numCache>
                <c:formatCode>_-* #,##0\ [$€-C0A]_-;\-* #,##0\ [$€-C0A]_-;_-* "-"??\ [$€-C0A]_-;_-@_-</c:formatCode>
                <c:ptCount val="1"/>
                <c:pt idx="0">
                  <c:v>534055</c:v>
                </c:pt>
              </c:numCache>
            </c:numRef>
          </c:val>
        </c:ser>
        <c:ser>
          <c:idx val="4"/>
          <c:order val="4"/>
          <c:tx>
            <c:strRef>
              <c:f>EconomiaT36!$B$10</c:f>
              <c:strCache>
                <c:ptCount val="1"/>
                <c:pt idx="0">
                  <c:v>Comisiones</c:v>
                </c:pt>
              </c:strCache>
            </c:strRef>
          </c:tx>
          <c:invertIfNegative val="0"/>
          <c:cat>
            <c:strRef>
              <c:f>EconomiaT36!$A$13</c:f>
              <c:strCache>
                <c:ptCount val="1"/>
                <c:pt idx="0">
                  <c:v>TOTAL INGRESOS</c:v>
                </c:pt>
              </c:strCache>
            </c:strRef>
          </c:cat>
          <c:val>
            <c:numRef>
              <c:f>EconomiaT36!$C$10</c:f>
              <c:numCache>
                <c:formatCode>_-* #,##0\ [$€-C0A]_-;\-* #,##0\ [$€-C0A]_-;_-* "-"??\ [$€-C0A]_-;_-@_-</c:formatCode>
                <c:ptCount val="1"/>
                <c:pt idx="0">
                  <c:v>102420</c:v>
                </c:pt>
              </c:numCache>
            </c:numRef>
          </c:val>
        </c:ser>
        <c:ser>
          <c:idx val="5"/>
          <c:order val="5"/>
          <c:tx>
            <c:strRef>
              <c:f>EconomiaT36!$B$11</c:f>
              <c:strCache>
                <c:ptCount val="1"/>
                <c:pt idx="0">
                  <c:v>Nuevos Socios</c:v>
                </c:pt>
              </c:strCache>
            </c:strRef>
          </c:tx>
          <c:invertIfNegative val="0"/>
          <c:cat>
            <c:strRef>
              <c:f>EconomiaT36!$A$13</c:f>
              <c:strCache>
                <c:ptCount val="1"/>
                <c:pt idx="0">
                  <c:v>TOTAL INGRESOS</c:v>
                </c:pt>
              </c:strCache>
            </c:strRef>
          </c:cat>
          <c:val>
            <c:numRef>
              <c:f>EconomiaT36!$C$11</c:f>
              <c:numCache>
                <c:formatCode>_-* #,##0\ [$€-C0A]_-;\-* #,##0\ [$€-C0A]_-;_-* "-"??\ [$€-C0A]_-;_-@_-</c:formatCode>
                <c:ptCount val="1"/>
                <c:pt idx="0">
                  <c:v>32160</c:v>
                </c:pt>
              </c:numCache>
            </c:numRef>
          </c:val>
        </c:ser>
        <c:ser>
          <c:idx val="6"/>
          <c:order val="6"/>
          <c:tx>
            <c:strRef>
              <c:f>EconomiaT36!$B$12</c:f>
              <c:strCache>
                <c:ptCount val="1"/>
                <c:pt idx="0">
                  <c:v>Premios</c:v>
                </c:pt>
              </c:strCache>
            </c:strRef>
          </c:tx>
          <c:invertIfNegative val="0"/>
          <c:cat>
            <c:strRef>
              <c:f>EconomiaT36!$A$13</c:f>
              <c:strCache>
                <c:ptCount val="1"/>
                <c:pt idx="0">
                  <c:v>TOTAL INGRESOS</c:v>
                </c:pt>
              </c:strCache>
            </c:strRef>
          </c:cat>
          <c:val>
            <c:numRef>
              <c:f>EconomiaT36!$C$12</c:f>
              <c:numCache>
                <c:formatCode>_-* #,##0\ [$€-C0A]_-;\-* #,##0\ [$€-C0A]_-;_-* "-"??\ [$€-C0A]_-;_-@_-</c:formatCode>
                <c:ptCount val="1"/>
                <c:pt idx="0">
                  <c:v>55000</c:v>
                </c:pt>
              </c:numCache>
            </c:numRef>
          </c:val>
        </c:ser>
        <c:dLbls>
          <c:showLegendKey val="0"/>
          <c:showVal val="0"/>
          <c:showCatName val="0"/>
          <c:showSerName val="0"/>
          <c:showPercent val="0"/>
          <c:showBubbleSize val="0"/>
        </c:dLbls>
        <c:gapWidth val="150"/>
        <c:overlap val="100"/>
        <c:axId val="282327160"/>
        <c:axId val="282321280"/>
      </c:barChart>
      <c:catAx>
        <c:axId val="282327160"/>
        <c:scaling>
          <c:orientation val="minMax"/>
        </c:scaling>
        <c:delete val="0"/>
        <c:axPos val="b"/>
        <c:numFmt formatCode="General" sourceLinked="0"/>
        <c:majorTickMark val="out"/>
        <c:minorTickMark val="none"/>
        <c:tickLblPos val="nextTo"/>
        <c:crossAx val="282321280"/>
        <c:crosses val="autoZero"/>
        <c:auto val="1"/>
        <c:lblAlgn val="ctr"/>
        <c:lblOffset val="100"/>
        <c:noMultiLvlLbl val="0"/>
      </c:catAx>
      <c:valAx>
        <c:axId val="282321280"/>
        <c:scaling>
          <c:orientation val="minMax"/>
        </c:scaling>
        <c:delete val="0"/>
        <c:axPos val="l"/>
        <c:majorGridlines/>
        <c:numFmt formatCode="_-* #,##0\ [$€-C0A]_-;\-* #,##0\ [$€-C0A]_-;_-* &quot;-&quot;??\ [$€-C0A]_-;_-@_-" sourceLinked="1"/>
        <c:majorTickMark val="out"/>
        <c:minorTickMark val="none"/>
        <c:tickLblPos val="nextTo"/>
        <c:crossAx val="2823271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1"/>
              </a:solidFill>
              <a:round/>
            </a:ln>
            <a:effectLst/>
          </c:spPr>
          <c:marker>
            <c:symbol val="none"/>
          </c:marker>
          <c:val>
            <c:numRef>
              <c:f>XP!$B$43:$B$69</c:f>
              <c:numCache>
                <c:formatCode>General</c:formatCode>
                <c:ptCount val="27"/>
                <c:pt idx="0">
                  <c:v>0</c:v>
                </c:pt>
                <c:pt idx="1">
                  <c:v>0.23478834540757498</c:v>
                </c:pt>
                <c:pt idx="2">
                  <c:v>0.40137332755197491</c:v>
                </c:pt>
                <c:pt idx="3">
                  <c:v>0.53058667822938343</c:v>
                </c:pt>
                <c:pt idx="4">
                  <c:v>0.63616167295954995</c:v>
                </c:pt>
                <c:pt idx="5">
                  <c:v>0.72542405913370089</c:v>
                </c:pt>
                <c:pt idx="6">
                  <c:v>0.80274665510394982</c:v>
                </c:pt>
                <c:pt idx="7">
                  <c:v>0.87095001836712493</c:v>
                </c:pt>
                <c:pt idx="8">
                  <c:v>0.93196000578135851</c:v>
                </c:pt>
                <c:pt idx="9">
                  <c:v>0.98715025265899181</c:v>
                </c:pt>
                <c:pt idx="10">
                  <c:v>1.0375350005115249</c:v>
                </c:pt>
                <c:pt idx="11">
                  <c:v>1.0838844755238075</c:v>
                </c:pt>
                <c:pt idx="12">
                  <c:v>1.1267973866856758</c:v>
                </c:pt>
                <c:pt idx="13">
                  <c:v>1.1667483511889334</c:v>
                </c:pt>
                <c:pt idx="14">
                  <c:v>1.2041199826559248</c:v>
                </c:pt>
                <c:pt idx="15">
                  <c:v>1.2392252342857237</c:v>
                </c:pt>
                <c:pt idx="16">
                  <c:v>1.2723233459190999</c:v>
                </c:pt>
                <c:pt idx="17">
                  <c:v>1.3036314737184636</c:v>
                </c:pt>
                <c:pt idx="18">
                  <c:v>1.3333333333333333</c:v>
                </c:pt>
                <c:pt idx="19">
                  <c:v>1.3615857320932507</c:v>
                </c:pt>
                <c:pt idx="20">
                  <c:v>1.3885235802109668</c:v>
                </c:pt>
                <c:pt idx="21">
                  <c:v>1.4142637871381487</c:v>
                </c:pt>
                <c:pt idx="22">
                  <c:v>1.4389083280634998</c:v>
                </c:pt>
                <c:pt idx="23">
                  <c:v>1.4625466840107419</c:v>
                </c:pt>
                <c:pt idx="24">
                  <c:v>1.4852578030757824</c:v>
                </c:pt>
                <c:pt idx="25">
                  <c:v>1.5071116913266749</c:v>
                </c:pt>
                <c:pt idx="26">
                  <c:v>1.5281707142376506</c:v>
                </c:pt>
              </c:numCache>
            </c:numRef>
          </c:val>
          <c:smooth val="0"/>
        </c:ser>
        <c:dLbls>
          <c:showLegendKey val="0"/>
          <c:showVal val="0"/>
          <c:showCatName val="0"/>
          <c:showSerName val="0"/>
          <c:showPercent val="0"/>
          <c:showBubbleSize val="0"/>
        </c:dLbls>
        <c:smooth val="0"/>
        <c:axId val="294302208"/>
        <c:axId val="294308088"/>
      </c:lineChart>
      <c:catAx>
        <c:axId val="2943022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94308088"/>
        <c:crosses val="autoZero"/>
        <c:auto val="1"/>
        <c:lblAlgn val="ctr"/>
        <c:lblOffset val="100"/>
        <c:noMultiLvlLbl val="0"/>
      </c:catAx>
      <c:valAx>
        <c:axId val="294308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94302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EconomiaT36!$C$14</c:f>
              <c:numCache>
                <c:formatCode>_-* #,##0\ [$€-C0A]_-;\-* #,##0\ [$€-C0A]_-;_-* "-"??\ [$€-C0A]_-;_-@_-</c:formatCode>
                <c:ptCount val="1"/>
                <c:pt idx="0">
                  <c:v>423734</c:v>
                </c:pt>
              </c:numCache>
            </c:numRef>
          </c:val>
        </c:ser>
        <c:ser>
          <c:idx val="1"/>
          <c:order val="1"/>
          <c:tx>
            <c:strRef>
              <c:f>EconomiaT36!$B$15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EconomiaT36!$C$15</c:f>
              <c:numCache>
                <c:formatCode>_-* #,##0\ [$€-C0A]_-;\-* #,##0\ [$€-C0A]_-;_-* "-"??\ [$€-C0A]_-;_-@_-</c:formatCode>
                <c:ptCount val="1"/>
                <c:pt idx="0">
                  <c:v>155697</c:v>
                </c:pt>
              </c:numCache>
            </c:numRef>
          </c:val>
        </c:ser>
        <c:ser>
          <c:idx val="2"/>
          <c:order val="2"/>
          <c:tx>
            <c:strRef>
              <c:f>EconomiaT36!$B$16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EconomiaT36!$C$16</c:f>
              <c:numCache>
                <c:formatCode>_-* #,##0\ [$€-C0A]_-;\-* #,##0\ [$€-C0A]_-;_-* "-"??\ [$€-C0A]_-;_-@_-</c:formatCode>
                <c:ptCount val="1"/>
                <c:pt idx="0">
                  <c:v>360170</c:v>
                </c:pt>
              </c:numCache>
            </c:numRef>
          </c:val>
        </c:ser>
        <c:ser>
          <c:idx val="3"/>
          <c:order val="3"/>
          <c:tx>
            <c:strRef>
              <c:f>EconomiaT36!$B$17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EconomiaT36!$C$17</c:f>
              <c:numCache>
                <c:formatCode>_-* #,##0\ [$€-C0A]_-;\-* #,##0\ [$€-C0A]_-;_-* "-"??\ [$€-C0A]_-;_-@_-</c:formatCode>
                <c:ptCount val="1"/>
                <c:pt idx="0">
                  <c:v>437400</c:v>
                </c:pt>
              </c:numCache>
            </c:numRef>
          </c:val>
        </c:ser>
        <c:ser>
          <c:idx val="4"/>
          <c:order val="4"/>
          <c:tx>
            <c:strRef>
              <c:f>EconomiaT36!$B$18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EconomiaT36!$C$18</c:f>
              <c:numCache>
                <c:formatCode>_-* #,##0\ [$€-C0A]_-;\-* #,##0\ [$€-C0A]_-;_-* "-"??\ [$€-C0A]_-;_-@_-</c:formatCode>
                <c:ptCount val="1"/>
                <c:pt idx="0">
                  <c:v>280000</c:v>
                </c:pt>
              </c:numCache>
            </c:numRef>
          </c:val>
        </c:ser>
        <c:ser>
          <c:idx val="5"/>
          <c:order val="5"/>
          <c:tx>
            <c:strRef>
              <c:f>EconomiaT36!$B$19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EconomiaT36!$C$19</c:f>
              <c:numCache>
                <c:formatCode>_-* #,##0\ [$€-C0A]_-;\-* #,##0\ [$€-C0A]_-;_-* "-"??\ [$€-C0A]_-;_-@_-</c:formatCode>
                <c:ptCount val="1"/>
                <c:pt idx="0">
                  <c:v>5162177</c:v>
                </c:pt>
              </c:numCache>
            </c:numRef>
          </c:val>
        </c:ser>
        <c:ser>
          <c:idx val="6"/>
          <c:order val="6"/>
          <c:tx>
            <c:strRef>
              <c:f>EconomiaT36!$B$20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EconomiaT36!$C$20</c:f>
              <c:numCache>
                <c:formatCode>_-* #,##0\ [$€-C0A]_-;\-* #,##0\ [$€-C0A]_-;_-* "-"??\ [$€-C0A]_-;_-@_-</c:formatCode>
                <c:ptCount val="1"/>
                <c:pt idx="0">
                  <c:v>368800</c:v>
                </c:pt>
              </c:numCache>
            </c:numRef>
          </c:val>
        </c:ser>
        <c:ser>
          <c:idx val="7"/>
          <c:order val="7"/>
          <c:tx>
            <c:strRef>
              <c:f>EconomiaT36!$B$21</c:f>
              <c:strCache>
                <c:ptCount val="1"/>
                <c:pt idx="0">
                  <c:v>Viajes+Venta</c:v>
                </c:pt>
              </c:strCache>
            </c:strRef>
          </c:tx>
          <c:invertIfNegative val="0"/>
          <c:val>
            <c:numRef>
              <c:f>EconomiaT36!$C$21</c:f>
              <c:numCache>
                <c:formatCode>_-* #,##0\ [$€-C0A]_-;\-* #,##0\ [$€-C0A]_-;_-* "-"??\ [$€-C0A]_-;_-@_-</c:formatCode>
                <c:ptCount val="1"/>
                <c:pt idx="0">
                  <c:v>97197</c:v>
                </c:pt>
              </c:numCache>
            </c:numRef>
          </c:val>
        </c:ser>
        <c:ser>
          <c:idx val="8"/>
          <c:order val="8"/>
          <c:tx>
            <c:strRef>
              <c:f>EconomiaT36!$B$22</c:f>
              <c:strCache>
                <c:ptCount val="1"/>
                <c:pt idx="0">
                  <c:v>Intereses</c:v>
                </c:pt>
              </c:strCache>
            </c:strRef>
          </c:tx>
          <c:invertIfNegative val="0"/>
          <c:val>
            <c:numRef>
              <c:f>EconomiaT36!$C$22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2322064"/>
        <c:axId val="282323632"/>
      </c:barChart>
      <c:catAx>
        <c:axId val="282322064"/>
        <c:scaling>
          <c:orientation val="minMax"/>
        </c:scaling>
        <c:delete val="0"/>
        <c:axPos val="b"/>
        <c:numFmt formatCode="General" sourceLinked="0"/>
        <c:majorTickMark val="out"/>
        <c:minorTickMark val="none"/>
        <c:tickLblPos val="nextTo"/>
        <c:crossAx val="282323632"/>
        <c:crosses val="autoZero"/>
        <c:auto val="1"/>
        <c:lblAlgn val="ctr"/>
        <c:lblOffset val="100"/>
        <c:noMultiLvlLbl val="0"/>
      </c:catAx>
      <c:valAx>
        <c:axId val="282323632"/>
        <c:scaling>
          <c:orientation val="minMax"/>
        </c:scaling>
        <c:delete val="0"/>
        <c:axPos val="l"/>
        <c:majorGridlines/>
        <c:numFmt formatCode="_-* #,##0\ [$€-C0A]_-;\-* #,##0\ [$€-C0A]_-;_-* &quot;-&quot;??\ [$€-C0A]_-;_-@_-" sourceLinked="1"/>
        <c:majorTickMark val="out"/>
        <c:minorTickMark val="none"/>
        <c:tickLblPos val="nextTo"/>
        <c:crossAx val="2823220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EconomiaT37!$C$6</c:f>
              <c:numCache>
                <c:formatCode>_-* #,##0\ [$€-C0A]_-;\-* #,##0\ [$€-C0A]_-;_-* "-"??\ [$€-C0A]_-;_-@_-</c:formatCode>
                <c:ptCount val="1"/>
                <c:pt idx="0">
                  <c:v>1478848</c:v>
                </c:pt>
              </c:numCache>
            </c:numRef>
          </c:val>
        </c:ser>
        <c:ser>
          <c:idx val="1"/>
          <c:order val="1"/>
          <c:tx>
            <c:strRef>
              <c:f>EconomiaT37!$B$7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EconomiaT37!$C$7</c:f>
              <c:numCache>
                <c:formatCode>_-* #,##0\ [$€-C0A]_-;\-* #,##0\ [$€-C0A]_-;_-* "-"??\ [$€-C0A]_-;_-@_-</c:formatCode>
                <c:ptCount val="1"/>
                <c:pt idx="0">
                  <c:v>925025</c:v>
                </c:pt>
              </c:numCache>
            </c:numRef>
          </c:val>
        </c:ser>
        <c:ser>
          <c:idx val="2"/>
          <c:order val="2"/>
          <c:tx>
            <c:strRef>
              <c:f>EconomiaT37!$B$8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EconomiaT37!$C$8</c:f>
              <c:numCache>
                <c:formatCode>_-* #,##0\ [$€-C0A]_-;\-* #,##0\ [$€-C0A]_-;_-* "-"??\ [$€-C0A]_-;_-@_-</c:formatCode>
                <c:ptCount val="1"/>
                <c:pt idx="0">
                  <c:v>8828685</c:v>
                </c:pt>
              </c:numCache>
            </c:numRef>
          </c:val>
        </c:ser>
        <c:ser>
          <c:idx val="3"/>
          <c:order val="3"/>
          <c:tx>
            <c:strRef>
              <c:f>EconomiaT37!$B$9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EconomiaT37!$C$9</c:f>
              <c:numCache>
                <c:formatCode>_-* #,##0\ [$€-C0A]_-;\-* #,##0\ [$€-C0A]_-;_-* "-"??\ [$€-C0A]_-;_-@_-</c:formatCode>
                <c:ptCount val="1"/>
                <c:pt idx="0">
                  <c:v>203300</c:v>
                </c:pt>
              </c:numCache>
            </c:numRef>
          </c:val>
        </c:ser>
        <c:ser>
          <c:idx val="4"/>
          <c:order val="4"/>
          <c:tx>
            <c:strRef>
              <c:f>EconomiaT37!$B$10</c:f>
              <c:strCache>
                <c:ptCount val="1"/>
                <c:pt idx="0">
                  <c:v>Comisiones</c:v>
                </c:pt>
              </c:strCache>
            </c:strRef>
          </c:tx>
          <c:invertIfNegative val="0"/>
          <c:cat>
            <c:strRef>
              <c:f>EconomiaT36!$A$13</c:f>
              <c:strCache>
                <c:ptCount val="1"/>
                <c:pt idx="0">
                  <c:v>TOTAL INGRESOS</c:v>
                </c:pt>
              </c:strCache>
            </c:strRef>
          </c:cat>
          <c:val>
            <c:numRef>
              <c:f>EconomiaT37!$C$10</c:f>
              <c:numCache>
                <c:formatCode>_-* #,##0\ [$€-C0A]_-;\-* #,##0\ [$€-C0A]_-;_-* "-"??\ [$€-C0A]_-;_-@_-</c:formatCode>
                <c:ptCount val="1"/>
                <c:pt idx="0">
                  <c:v>105290</c:v>
                </c:pt>
              </c:numCache>
            </c:numRef>
          </c:val>
        </c:ser>
        <c:ser>
          <c:idx val="5"/>
          <c:order val="5"/>
          <c:tx>
            <c:strRef>
              <c:f>EconomiaT37!$B$11</c:f>
              <c:strCache>
                <c:ptCount val="1"/>
                <c:pt idx="0">
                  <c:v>Nuevos Socios</c:v>
                </c:pt>
              </c:strCache>
            </c:strRef>
          </c:tx>
          <c:invertIfNegative val="0"/>
          <c:cat>
            <c:strRef>
              <c:f>EconomiaT36!$A$13</c:f>
              <c:strCache>
                <c:ptCount val="1"/>
                <c:pt idx="0">
                  <c:v>TOTAL INGRESOS</c:v>
                </c:pt>
              </c:strCache>
            </c:strRef>
          </c:cat>
          <c:val>
            <c:numRef>
              <c:f>EconomiaT37!$C$11</c:f>
              <c:numCache>
                <c:formatCode>_-* #,##0\ [$€-C0A]_-;\-* #,##0\ [$€-C0A]_-;_-* "-"??\ [$€-C0A]_-;_-@_-</c:formatCode>
                <c:ptCount val="1"/>
                <c:pt idx="0">
                  <c:v>40860</c:v>
                </c:pt>
              </c:numCache>
            </c:numRef>
          </c:val>
        </c:ser>
        <c:ser>
          <c:idx val="6"/>
          <c:order val="6"/>
          <c:tx>
            <c:strRef>
              <c:f>EconomiaT37!$B$12</c:f>
              <c:strCache>
                <c:ptCount val="1"/>
                <c:pt idx="0">
                  <c:v>Premios</c:v>
                </c:pt>
              </c:strCache>
            </c:strRef>
          </c:tx>
          <c:invertIfNegative val="0"/>
          <c:cat>
            <c:strRef>
              <c:f>EconomiaT36!$A$13</c:f>
              <c:strCache>
                <c:ptCount val="1"/>
                <c:pt idx="0">
                  <c:v>TOTAL INGRESOS</c:v>
                </c:pt>
              </c:strCache>
            </c:strRef>
          </c:cat>
          <c:val>
            <c:numRef>
              <c:f>EconomiaT37!$C$12</c:f>
              <c:numCache>
                <c:formatCode>_-* #,##0\ [$€-C0A]_-;\-* #,##0\ [$€-C0A]_-;_-* "-"??\ [$€-C0A]_-;_-@_-</c:formatCode>
                <c:ptCount val="1"/>
                <c:pt idx="0">
                  <c:v>45000</c:v>
                </c:pt>
              </c:numCache>
            </c:numRef>
          </c:val>
        </c:ser>
        <c:dLbls>
          <c:showLegendKey val="0"/>
          <c:showVal val="0"/>
          <c:showCatName val="0"/>
          <c:showSerName val="0"/>
          <c:showPercent val="0"/>
          <c:showBubbleSize val="0"/>
        </c:dLbls>
        <c:gapWidth val="150"/>
        <c:overlap val="100"/>
        <c:axId val="282324024"/>
        <c:axId val="282325592"/>
      </c:barChart>
      <c:catAx>
        <c:axId val="282324024"/>
        <c:scaling>
          <c:orientation val="minMax"/>
        </c:scaling>
        <c:delete val="0"/>
        <c:axPos val="b"/>
        <c:numFmt formatCode="General" sourceLinked="0"/>
        <c:majorTickMark val="out"/>
        <c:minorTickMark val="none"/>
        <c:tickLblPos val="nextTo"/>
        <c:crossAx val="282325592"/>
        <c:crosses val="autoZero"/>
        <c:auto val="1"/>
        <c:lblAlgn val="ctr"/>
        <c:lblOffset val="100"/>
        <c:noMultiLvlLbl val="0"/>
      </c:catAx>
      <c:valAx>
        <c:axId val="282325592"/>
        <c:scaling>
          <c:orientation val="minMax"/>
        </c:scaling>
        <c:delete val="0"/>
        <c:axPos val="l"/>
        <c:majorGridlines/>
        <c:numFmt formatCode="_-* #,##0\ [$€-C0A]_-;\-* #,##0\ [$€-C0A]_-;_-* &quot;-&quot;??\ [$€-C0A]_-;_-@_-" sourceLinked="1"/>
        <c:majorTickMark val="out"/>
        <c:minorTickMark val="none"/>
        <c:tickLblPos val="nextTo"/>
        <c:crossAx val="2823240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EconomiaT37!$C$14</c:f>
              <c:numCache>
                <c:formatCode>_-* #,##0\ [$€-C0A]_-;\-* #,##0\ [$€-C0A]_-;_-* "-"??\ [$€-C0A]_-;_-@_-</c:formatCode>
                <c:ptCount val="1"/>
                <c:pt idx="0">
                  <c:v>685414</c:v>
                </c:pt>
              </c:numCache>
            </c:numRef>
          </c:val>
        </c:ser>
        <c:ser>
          <c:idx val="1"/>
          <c:order val="1"/>
          <c:tx>
            <c:strRef>
              <c:f>EconomiaT37!$B$15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EconomiaT37!$C$15</c:f>
              <c:numCache>
                <c:formatCode>_-* #,##0\ [$€-C0A]_-;\-* #,##0\ [$€-C0A]_-;_-* "-"??\ [$€-C0A]_-;_-@_-</c:formatCode>
                <c:ptCount val="1"/>
                <c:pt idx="0">
                  <c:v>205240</c:v>
                </c:pt>
              </c:numCache>
            </c:numRef>
          </c:val>
        </c:ser>
        <c:ser>
          <c:idx val="2"/>
          <c:order val="2"/>
          <c:tx>
            <c:strRef>
              <c:f>EconomiaT37!$B$16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EconomiaT37!$C$16</c:f>
              <c:numCache>
                <c:formatCode>_-* #,##0\ [$€-C0A]_-;\-* #,##0\ [$€-C0A]_-;_-* "-"??\ [$€-C0A]_-;_-@_-</c:formatCode>
                <c:ptCount val="1"/>
                <c:pt idx="0">
                  <c:v>803415</c:v>
                </c:pt>
              </c:numCache>
            </c:numRef>
          </c:val>
        </c:ser>
        <c:ser>
          <c:idx val="3"/>
          <c:order val="3"/>
          <c:tx>
            <c:strRef>
              <c:f>EconomiaT37!$B$17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EconomiaT37!$C$17</c:f>
              <c:numCache>
                <c:formatCode>_-* #,##0\ [$€-C0A]_-;\-* #,##0\ [$€-C0A]_-;_-* "-"??\ [$€-C0A]_-;_-@_-</c:formatCode>
                <c:ptCount val="1"/>
                <c:pt idx="0">
                  <c:v>475200</c:v>
                </c:pt>
              </c:numCache>
            </c:numRef>
          </c:val>
        </c:ser>
        <c:ser>
          <c:idx val="4"/>
          <c:order val="4"/>
          <c:tx>
            <c:strRef>
              <c:f>EconomiaT37!$B$18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EconomiaT37!$C$18</c:f>
              <c:numCache>
                <c:formatCode>_-* #,##0\ [$€-C0A]_-;\-* #,##0\ [$€-C0A]_-;_-* "-"??\ [$€-C0A]_-;_-@_-</c:formatCode>
                <c:ptCount val="1"/>
                <c:pt idx="0">
                  <c:v>320000</c:v>
                </c:pt>
              </c:numCache>
            </c:numRef>
          </c:val>
        </c:ser>
        <c:ser>
          <c:idx val="5"/>
          <c:order val="5"/>
          <c:tx>
            <c:strRef>
              <c:f>EconomiaT37!$B$19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EconomiaT37!$C$19</c:f>
              <c:numCache>
                <c:formatCode>_-* #,##0\ [$€-C0A]_-;\-* #,##0\ [$€-C0A]_-;_-* "-"??\ [$€-C0A]_-;_-@_-</c:formatCode>
                <c:ptCount val="1"/>
                <c:pt idx="0">
                  <c:v>9836123</c:v>
                </c:pt>
              </c:numCache>
            </c:numRef>
          </c:val>
        </c:ser>
        <c:ser>
          <c:idx val="6"/>
          <c:order val="6"/>
          <c:tx>
            <c:strRef>
              <c:f>EconomiaT37!$B$20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EconomiaT37!$C$20</c:f>
              <c:numCache>
                <c:formatCode>_-* #,##0\ [$€-C0A]_-;\-* #,##0\ [$€-C0A]_-;_-* "-"??\ [$€-C0A]_-;_-@_-</c:formatCode>
                <c:ptCount val="1"/>
                <c:pt idx="0">
                  <c:v>0</c:v>
                </c:pt>
              </c:numCache>
            </c:numRef>
          </c:val>
        </c:ser>
        <c:ser>
          <c:idx val="7"/>
          <c:order val="7"/>
          <c:tx>
            <c:strRef>
              <c:f>EconomiaT37!$B$21</c:f>
              <c:strCache>
                <c:ptCount val="1"/>
                <c:pt idx="0">
                  <c:v>Viajes+Venta</c:v>
                </c:pt>
              </c:strCache>
            </c:strRef>
          </c:tx>
          <c:invertIfNegative val="0"/>
          <c:val>
            <c:numRef>
              <c:f>EconomiaT37!$C$21</c:f>
              <c:numCache>
                <c:formatCode>_-* #,##0\ [$€-C0A]_-;\-* #,##0\ [$€-C0A]_-;_-* "-"??\ [$€-C0A]_-;_-@_-</c:formatCode>
                <c:ptCount val="1"/>
                <c:pt idx="0">
                  <c:v>84600</c:v>
                </c:pt>
              </c:numCache>
            </c:numRef>
          </c:val>
        </c:ser>
        <c:ser>
          <c:idx val="8"/>
          <c:order val="8"/>
          <c:tx>
            <c:strRef>
              <c:f>EconomiaT37!$B$22</c:f>
              <c:strCache>
                <c:ptCount val="1"/>
                <c:pt idx="0">
                  <c:v>Intereses</c:v>
                </c:pt>
              </c:strCache>
            </c:strRef>
          </c:tx>
          <c:invertIfNegative val="0"/>
          <c:val>
            <c:numRef>
              <c:f>EconomiaT37!$C$22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5009536"/>
        <c:axId val="285004440"/>
      </c:barChart>
      <c:catAx>
        <c:axId val="285009536"/>
        <c:scaling>
          <c:orientation val="minMax"/>
        </c:scaling>
        <c:delete val="0"/>
        <c:axPos val="b"/>
        <c:numFmt formatCode="General" sourceLinked="0"/>
        <c:majorTickMark val="out"/>
        <c:minorTickMark val="none"/>
        <c:tickLblPos val="nextTo"/>
        <c:crossAx val="285004440"/>
        <c:crosses val="autoZero"/>
        <c:auto val="1"/>
        <c:lblAlgn val="ctr"/>
        <c:lblOffset val="100"/>
        <c:noMultiLvlLbl val="0"/>
      </c:catAx>
      <c:valAx>
        <c:axId val="285004440"/>
        <c:scaling>
          <c:orientation val="minMax"/>
        </c:scaling>
        <c:delete val="0"/>
        <c:axPos val="l"/>
        <c:majorGridlines/>
        <c:numFmt formatCode="_-* #,##0\ [$€-C0A]_-;\-* #,##0\ [$€-C0A]_-;_-* &quot;-&quot;??\ [$€-C0A]_-;_-@_-" sourceLinked="1"/>
        <c:majorTickMark val="out"/>
        <c:minorTickMark val="none"/>
        <c:tickLblPos val="nextTo"/>
        <c:crossAx val="2850095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EconomiaT38!$C$6</c:f>
              <c:numCache>
                <c:formatCode>_-* #,##0\ [$€-C0A]_-;\-* #,##0\ [$€-C0A]_-;_-* "-"??\ [$€-C0A]_-;_-@_-</c:formatCode>
                <c:ptCount val="1"/>
                <c:pt idx="0">
                  <c:v>2339312</c:v>
                </c:pt>
              </c:numCache>
            </c:numRef>
          </c:val>
        </c:ser>
        <c:ser>
          <c:idx val="1"/>
          <c:order val="1"/>
          <c:tx>
            <c:strRef>
              <c:f>EconomiaT38!$B$7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EconomiaT38!$C$7</c:f>
              <c:numCache>
                <c:formatCode>_-* #,##0\ [$€-C0A]_-;\-* #,##0\ [$€-C0A]_-;_-* "-"??\ [$€-C0A]_-;_-@_-</c:formatCode>
                <c:ptCount val="1"/>
                <c:pt idx="0">
                  <c:v>1046265</c:v>
                </c:pt>
              </c:numCache>
            </c:numRef>
          </c:val>
        </c:ser>
        <c:ser>
          <c:idx val="2"/>
          <c:order val="2"/>
          <c:tx>
            <c:strRef>
              <c:f>EconomiaT38!$B$8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EconomiaT38!$C$8</c:f>
              <c:numCache>
                <c:formatCode>_-* #,##0\ [$€-C0A]_-;\-* #,##0\ [$€-C0A]_-;_-* "-"??\ [$€-C0A]_-;_-@_-</c:formatCode>
                <c:ptCount val="1"/>
                <c:pt idx="0">
                  <c:v>9537434</c:v>
                </c:pt>
              </c:numCache>
            </c:numRef>
          </c:val>
        </c:ser>
        <c:ser>
          <c:idx val="3"/>
          <c:order val="3"/>
          <c:tx>
            <c:strRef>
              <c:f>EconomiaT38!$B$9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EconomiaT38!$C$9</c:f>
              <c:numCache>
                <c:formatCode>_-* #,##0\ [$€-C0A]_-;\-* #,##0\ [$€-C0A]_-;_-* "-"??\ [$€-C0A]_-;_-@_-</c:formatCode>
                <c:ptCount val="1"/>
                <c:pt idx="0">
                  <c:v>885400</c:v>
                </c:pt>
              </c:numCache>
            </c:numRef>
          </c:val>
        </c:ser>
        <c:ser>
          <c:idx val="4"/>
          <c:order val="4"/>
          <c:tx>
            <c:strRef>
              <c:f>EconomiaT38!$B$10</c:f>
              <c:strCache>
                <c:ptCount val="1"/>
                <c:pt idx="0">
                  <c:v>Comisiones</c:v>
                </c:pt>
              </c:strCache>
            </c:strRef>
          </c:tx>
          <c:invertIfNegative val="0"/>
          <c:cat>
            <c:strRef>
              <c:f>EconomiaT38!$A$13</c:f>
              <c:strCache>
                <c:ptCount val="1"/>
                <c:pt idx="0">
                  <c:v>TOTAL INGRESOS</c:v>
                </c:pt>
              </c:strCache>
            </c:strRef>
          </c:cat>
          <c:val>
            <c:numRef>
              <c:f>EconomiaT38!$C$10</c:f>
              <c:numCache>
                <c:formatCode>_-* #,##0\ [$€-C0A]_-;\-* #,##0\ [$€-C0A]_-;_-* "-"??\ [$€-C0A]_-;_-@_-</c:formatCode>
                <c:ptCount val="1"/>
                <c:pt idx="0">
                  <c:v>56595</c:v>
                </c:pt>
              </c:numCache>
            </c:numRef>
          </c:val>
        </c:ser>
        <c:ser>
          <c:idx val="5"/>
          <c:order val="5"/>
          <c:tx>
            <c:strRef>
              <c:f>EconomiaT38!$B$11</c:f>
              <c:strCache>
                <c:ptCount val="1"/>
                <c:pt idx="0">
                  <c:v>Nuevos Socios</c:v>
                </c:pt>
              </c:strCache>
            </c:strRef>
          </c:tx>
          <c:invertIfNegative val="0"/>
          <c:cat>
            <c:strRef>
              <c:f>EconomiaT38!$A$13</c:f>
              <c:strCache>
                <c:ptCount val="1"/>
                <c:pt idx="0">
                  <c:v>TOTAL INGRESOS</c:v>
                </c:pt>
              </c:strCache>
            </c:strRef>
          </c:cat>
          <c:val>
            <c:numRef>
              <c:f>EconomiaT38!$C$11</c:f>
              <c:numCache>
                <c:formatCode>_-* #,##0\ [$€-C0A]_-;\-* #,##0\ [$€-C0A]_-;_-* "-"??\ [$€-C0A]_-;_-@_-</c:formatCode>
                <c:ptCount val="1"/>
                <c:pt idx="0">
                  <c:v>47371</c:v>
                </c:pt>
              </c:numCache>
            </c:numRef>
          </c:val>
        </c:ser>
        <c:ser>
          <c:idx val="6"/>
          <c:order val="6"/>
          <c:tx>
            <c:strRef>
              <c:f>EconomiaT38!$B$12</c:f>
              <c:strCache>
                <c:ptCount val="1"/>
                <c:pt idx="0">
                  <c:v>Premios</c:v>
                </c:pt>
              </c:strCache>
            </c:strRef>
          </c:tx>
          <c:invertIfNegative val="0"/>
          <c:cat>
            <c:strRef>
              <c:f>EconomiaT38!$A$13</c:f>
              <c:strCache>
                <c:ptCount val="1"/>
                <c:pt idx="0">
                  <c:v>TOTAL INGRESOS</c:v>
                </c:pt>
              </c:strCache>
            </c:strRef>
          </c:cat>
          <c:val>
            <c:numRef>
              <c:f>EconomiaT38!$C$12</c:f>
              <c:numCache>
                <c:formatCode>_-* #,##0\ [$€-C0A]_-;\-* #,##0\ [$€-C0A]_-;_-* "-"??\ [$€-C0A]_-;_-@_-</c:formatCode>
                <c:ptCount val="1"/>
                <c:pt idx="0">
                  <c:v>100000</c:v>
                </c:pt>
              </c:numCache>
            </c:numRef>
          </c:val>
        </c:ser>
        <c:dLbls>
          <c:showLegendKey val="0"/>
          <c:showVal val="0"/>
          <c:showCatName val="0"/>
          <c:showSerName val="0"/>
          <c:showPercent val="0"/>
          <c:showBubbleSize val="0"/>
        </c:dLbls>
        <c:gapWidth val="150"/>
        <c:overlap val="100"/>
        <c:axId val="285008752"/>
        <c:axId val="285006008"/>
      </c:barChart>
      <c:catAx>
        <c:axId val="285008752"/>
        <c:scaling>
          <c:orientation val="minMax"/>
        </c:scaling>
        <c:delete val="0"/>
        <c:axPos val="b"/>
        <c:numFmt formatCode="General" sourceLinked="0"/>
        <c:majorTickMark val="out"/>
        <c:minorTickMark val="none"/>
        <c:tickLblPos val="nextTo"/>
        <c:crossAx val="285006008"/>
        <c:crosses val="autoZero"/>
        <c:auto val="1"/>
        <c:lblAlgn val="ctr"/>
        <c:lblOffset val="100"/>
        <c:noMultiLvlLbl val="0"/>
      </c:catAx>
      <c:valAx>
        <c:axId val="285006008"/>
        <c:scaling>
          <c:orientation val="minMax"/>
        </c:scaling>
        <c:delete val="0"/>
        <c:axPos val="l"/>
        <c:majorGridlines/>
        <c:numFmt formatCode="_-* #,##0\ [$€-C0A]_-;\-* #,##0\ [$€-C0A]_-;_-* &quot;-&quot;??\ [$€-C0A]_-;_-@_-" sourceLinked="1"/>
        <c:majorTickMark val="out"/>
        <c:minorTickMark val="none"/>
        <c:tickLblPos val="nextTo"/>
        <c:crossAx val="2850087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EconomiaT38!$C$14</c:f>
              <c:numCache>
                <c:formatCode>_-* #,##0\ [$€-C0A]_-;\-* #,##0\ [$€-C0A]_-;_-* "-"??\ [$€-C0A]_-;_-@_-</c:formatCode>
                <c:ptCount val="1"/>
                <c:pt idx="0">
                  <c:v>1037788</c:v>
                </c:pt>
              </c:numCache>
            </c:numRef>
          </c:val>
        </c:ser>
        <c:ser>
          <c:idx val="1"/>
          <c:order val="1"/>
          <c:tx>
            <c:strRef>
              <c:f>EconomiaT38!$B$15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EconomiaT38!$C$15</c:f>
              <c:numCache>
                <c:formatCode>_-* #,##0\ [$€-C0A]_-;\-* #,##0\ [$€-C0A]_-;_-* "-"??\ [$€-C0A]_-;_-@_-</c:formatCode>
                <c:ptCount val="1"/>
                <c:pt idx="0">
                  <c:v>303797</c:v>
                </c:pt>
              </c:numCache>
            </c:numRef>
          </c:val>
        </c:ser>
        <c:ser>
          <c:idx val="2"/>
          <c:order val="2"/>
          <c:tx>
            <c:strRef>
              <c:f>EconomiaT38!$B$16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EconomiaT38!$C$16</c:f>
              <c:numCache>
                <c:formatCode>_-* #,##0\ [$€-C0A]_-;\-* #,##0\ [$€-C0A]_-;_-* "-"??\ [$€-C0A]_-;_-@_-</c:formatCode>
                <c:ptCount val="1"/>
                <c:pt idx="0">
                  <c:v>417340</c:v>
                </c:pt>
              </c:numCache>
            </c:numRef>
          </c:val>
        </c:ser>
        <c:ser>
          <c:idx val="3"/>
          <c:order val="3"/>
          <c:tx>
            <c:strRef>
              <c:f>EconomiaT38!$B$17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EconomiaT38!$C$17</c:f>
              <c:numCache>
                <c:formatCode>_-* #,##0\ [$€-C0A]_-;\-* #,##0\ [$€-C0A]_-;_-* "-"??\ [$€-C0A]_-;_-@_-</c:formatCode>
                <c:ptCount val="1"/>
                <c:pt idx="0">
                  <c:v>482400</c:v>
                </c:pt>
              </c:numCache>
            </c:numRef>
          </c:val>
        </c:ser>
        <c:ser>
          <c:idx val="4"/>
          <c:order val="4"/>
          <c:tx>
            <c:strRef>
              <c:f>EconomiaT38!$B$18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EconomiaT38!$C$18</c:f>
              <c:numCache>
                <c:formatCode>_-* #,##0\ [$€-C0A]_-;\-* #,##0\ [$€-C0A]_-;_-* "-"??\ [$€-C0A]_-;_-@_-</c:formatCode>
                <c:ptCount val="1"/>
                <c:pt idx="0">
                  <c:v>320000</c:v>
                </c:pt>
              </c:numCache>
            </c:numRef>
          </c:val>
        </c:ser>
        <c:ser>
          <c:idx val="5"/>
          <c:order val="5"/>
          <c:tx>
            <c:strRef>
              <c:f>EconomiaT38!$B$19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EconomiaT38!$C$19</c:f>
              <c:numCache>
                <c:formatCode>_-* #,##0\ [$€-C0A]_-;\-* #,##0\ [$€-C0A]_-;_-* "-"??\ [$€-C0A]_-;_-@_-</c:formatCode>
                <c:ptCount val="1"/>
                <c:pt idx="0">
                  <c:v>10199955</c:v>
                </c:pt>
              </c:numCache>
            </c:numRef>
          </c:val>
        </c:ser>
        <c:ser>
          <c:idx val="6"/>
          <c:order val="6"/>
          <c:tx>
            <c:strRef>
              <c:f>EconomiaT38!$B$20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EconomiaT38!$C$20</c:f>
              <c:numCache>
                <c:formatCode>_-* #,##0\ [$€-C0A]_-;\-* #,##0\ [$€-C0A]_-;_-* "-"??\ [$€-C0A]_-;_-@_-</c:formatCode>
                <c:ptCount val="1"/>
                <c:pt idx="0">
                  <c:v>761672</c:v>
                </c:pt>
              </c:numCache>
            </c:numRef>
          </c:val>
        </c:ser>
        <c:ser>
          <c:idx val="7"/>
          <c:order val="7"/>
          <c:tx>
            <c:strRef>
              <c:f>EconomiaT38!$B$21</c:f>
              <c:strCache>
                <c:ptCount val="1"/>
                <c:pt idx="0">
                  <c:v>Viajes+Venta</c:v>
                </c:pt>
              </c:strCache>
            </c:strRef>
          </c:tx>
          <c:invertIfNegative val="0"/>
          <c:val>
            <c:numRef>
              <c:f>EconomiaT38!$C$21</c:f>
              <c:numCache>
                <c:formatCode>_-* #,##0\ [$€-C0A]_-;\-* #,##0\ [$€-C0A]_-;_-* "-"??\ [$€-C0A]_-;_-@_-</c:formatCode>
                <c:ptCount val="1"/>
                <c:pt idx="0">
                  <c:v>86800</c:v>
                </c:pt>
              </c:numCache>
            </c:numRef>
          </c:val>
        </c:ser>
        <c:ser>
          <c:idx val="8"/>
          <c:order val="8"/>
          <c:tx>
            <c:strRef>
              <c:f>EconomiaT38!$B$22</c:f>
              <c:strCache>
                <c:ptCount val="1"/>
                <c:pt idx="0">
                  <c:v>Intereses</c:v>
                </c:pt>
              </c:strCache>
            </c:strRef>
          </c:tx>
          <c:invertIfNegative val="0"/>
          <c:val>
            <c:numRef>
              <c:f>EconomiaT38!$C$22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5004832"/>
        <c:axId val="285005224"/>
      </c:barChart>
      <c:catAx>
        <c:axId val="285004832"/>
        <c:scaling>
          <c:orientation val="minMax"/>
        </c:scaling>
        <c:delete val="0"/>
        <c:axPos val="b"/>
        <c:numFmt formatCode="General" sourceLinked="0"/>
        <c:majorTickMark val="out"/>
        <c:minorTickMark val="none"/>
        <c:tickLblPos val="nextTo"/>
        <c:crossAx val="285005224"/>
        <c:crosses val="autoZero"/>
        <c:auto val="1"/>
        <c:lblAlgn val="ctr"/>
        <c:lblOffset val="100"/>
        <c:noMultiLvlLbl val="0"/>
      </c:catAx>
      <c:valAx>
        <c:axId val="285005224"/>
        <c:scaling>
          <c:orientation val="minMax"/>
        </c:scaling>
        <c:delete val="0"/>
        <c:axPos val="l"/>
        <c:majorGridlines/>
        <c:numFmt formatCode="_-* #,##0\ [$€-C0A]_-;\-* #,##0\ [$€-C0A]_-;_-* &quot;-&quot;??\ [$€-C0A]_-;_-@_-" sourceLinked="1"/>
        <c:majorTickMark val="out"/>
        <c:minorTickMark val="none"/>
        <c:tickLblPos val="nextTo"/>
        <c:crossAx val="2850048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EconomiaT38!$C$6</c:f>
              <c:numCache>
                <c:formatCode>_-* #,##0\ [$€-C0A]_-;\-* #,##0\ [$€-C0A]_-;_-* "-"??\ [$€-C0A]_-;_-@_-</c:formatCode>
                <c:ptCount val="1"/>
                <c:pt idx="0">
                  <c:v>2339312</c:v>
                </c:pt>
              </c:numCache>
            </c:numRef>
          </c:val>
        </c:ser>
        <c:ser>
          <c:idx val="1"/>
          <c:order val="1"/>
          <c:tx>
            <c:strRef>
              <c:f>EconomiaT38!$B$7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EconomiaT38!$C$7</c:f>
              <c:numCache>
                <c:formatCode>_-* #,##0\ [$€-C0A]_-;\-* #,##0\ [$€-C0A]_-;_-* "-"??\ [$€-C0A]_-;_-@_-</c:formatCode>
                <c:ptCount val="1"/>
                <c:pt idx="0">
                  <c:v>1046265</c:v>
                </c:pt>
              </c:numCache>
            </c:numRef>
          </c:val>
        </c:ser>
        <c:ser>
          <c:idx val="2"/>
          <c:order val="2"/>
          <c:tx>
            <c:strRef>
              <c:f>EconomiaT38!$B$8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EconomiaT38!$C$8</c:f>
              <c:numCache>
                <c:formatCode>_-* #,##0\ [$€-C0A]_-;\-* #,##0\ [$€-C0A]_-;_-* "-"??\ [$€-C0A]_-;_-@_-</c:formatCode>
                <c:ptCount val="1"/>
                <c:pt idx="0">
                  <c:v>9537434</c:v>
                </c:pt>
              </c:numCache>
            </c:numRef>
          </c:val>
        </c:ser>
        <c:ser>
          <c:idx val="3"/>
          <c:order val="3"/>
          <c:tx>
            <c:strRef>
              <c:f>EconomiaT38!$B$9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EconomiaT38!$A$13</c:f>
              <c:strCache>
                <c:ptCount val="1"/>
                <c:pt idx="0">
                  <c:v>TOTAL INGRESOS</c:v>
                </c:pt>
              </c:strCache>
            </c:strRef>
          </c:cat>
          <c:val>
            <c:numRef>
              <c:f>EconomiaT38!$C$9</c:f>
              <c:numCache>
                <c:formatCode>_-* #,##0\ [$€-C0A]_-;\-* #,##0\ [$€-C0A]_-;_-* "-"??\ [$€-C0A]_-;_-@_-</c:formatCode>
                <c:ptCount val="1"/>
                <c:pt idx="0">
                  <c:v>885400</c:v>
                </c:pt>
              </c:numCache>
            </c:numRef>
          </c:val>
        </c:ser>
        <c:ser>
          <c:idx val="4"/>
          <c:order val="4"/>
          <c:tx>
            <c:strRef>
              <c:f>EconomiaT38!$B$10</c:f>
              <c:strCache>
                <c:ptCount val="1"/>
                <c:pt idx="0">
                  <c:v>Comisiones</c:v>
                </c:pt>
              </c:strCache>
            </c:strRef>
          </c:tx>
          <c:invertIfNegative val="0"/>
          <c:cat>
            <c:strRef>
              <c:f>EconomiaT38!$A$13</c:f>
              <c:strCache>
                <c:ptCount val="1"/>
                <c:pt idx="0">
                  <c:v>TOTAL INGRESOS</c:v>
                </c:pt>
              </c:strCache>
            </c:strRef>
          </c:cat>
          <c:val>
            <c:numRef>
              <c:f>EconomiaT38!$C$10</c:f>
              <c:numCache>
                <c:formatCode>_-* #,##0\ [$€-C0A]_-;\-* #,##0\ [$€-C0A]_-;_-* "-"??\ [$€-C0A]_-;_-@_-</c:formatCode>
                <c:ptCount val="1"/>
                <c:pt idx="0">
                  <c:v>56595</c:v>
                </c:pt>
              </c:numCache>
            </c:numRef>
          </c:val>
        </c:ser>
        <c:ser>
          <c:idx val="5"/>
          <c:order val="5"/>
          <c:tx>
            <c:strRef>
              <c:f>EconomiaT38!$B$11</c:f>
              <c:strCache>
                <c:ptCount val="1"/>
                <c:pt idx="0">
                  <c:v>Nuevos Socios</c:v>
                </c:pt>
              </c:strCache>
            </c:strRef>
          </c:tx>
          <c:invertIfNegative val="0"/>
          <c:cat>
            <c:strRef>
              <c:f>EconomiaT38!$A$13</c:f>
              <c:strCache>
                <c:ptCount val="1"/>
                <c:pt idx="0">
                  <c:v>TOTAL INGRESOS</c:v>
                </c:pt>
              </c:strCache>
            </c:strRef>
          </c:cat>
          <c:val>
            <c:numRef>
              <c:f>EconomiaT38!$C$11</c:f>
              <c:numCache>
                <c:formatCode>_-* #,##0\ [$€-C0A]_-;\-* #,##0\ [$€-C0A]_-;_-* "-"??\ [$€-C0A]_-;_-@_-</c:formatCode>
                <c:ptCount val="1"/>
                <c:pt idx="0">
                  <c:v>47371</c:v>
                </c:pt>
              </c:numCache>
            </c:numRef>
          </c:val>
        </c:ser>
        <c:ser>
          <c:idx val="6"/>
          <c:order val="6"/>
          <c:tx>
            <c:strRef>
              <c:f>EconomiaT38!$B$12</c:f>
              <c:strCache>
                <c:ptCount val="1"/>
                <c:pt idx="0">
                  <c:v>Premios</c:v>
                </c:pt>
              </c:strCache>
            </c:strRef>
          </c:tx>
          <c:invertIfNegative val="0"/>
          <c:cat>
            <c:strRef>
              <c:f>EconomiaT38!$A$13</c:f>
              <c:strCache>
                <c:ptCount val="1"/>
                <c:pt idx="0">
                  <c:v>TOTAL INGRESOS</c:v>
                </c:pt>
              </c:strCache>
            </c:strRef>
          </c:cat>
          <c:val>
            <c:numRef>
              <c:f>EconomiaT38!$C$12</c:f>
              <c:numCache>
                <c:formatCode>_-* #,##0\ [$€-C0A]_-;\-* #,##0\ [$€-C0A]_-;_-* "-"??\ [$€-C0A]_-;_-@_-</c:formatCode>
                <c:ptCount val="1"/>
                <c:pt idx="0">
                  <c:v>100000</c:v>
                </c:pt>
              </c:numCache>
            </c:numRef>
          </c:val>
        </c:ser>
        <c:dLbls>
          <c:showLegendKey val="0"/>
          <c:showVal val="0"/>
          <c:showCatName val="0"/>
          <c:showSerName val="0"/>
          <c:showPercent val="0"/>
          <c:showBubbleSize val="0"/>
        </c:dLbls>
        <c:gapWidth val="150"/>
        <c:overlap val="100"/>
        <c:axId val="285003264"/>
        <c:axId val="285004048"/>
      </c:barChart>
      <c:catAx>
        <c:axId val="285003264"/>
        <c:scaling>
          <c:orientation val="minMax"/>
        </c:scaling>
        <c:delete val="0"/>
        <c:axPos val="b"/>
        <c:numFmt formatCode="General" sourceLinked="0"/>
        <c:majorTickMark val="out"/>
        <c:minorTickMark val="none"/>
        <c:tickLblPos val="nextTo"/>
        <c:crossAx val="285004048"/>
        <c:crosses val="autoZero"/>
        <c:auto val="1"/>
        <c:lblAlgn val="ctr"/>
        <c:lblOffset val="100"/>
        <c:noMultiLvlLbl val="0"/>
      </c:catAx>
      <c:valAx>
        <c:axId val="285004048"/>
        <c:scaling>
          <c:orientation val="minMax"/>
        </c:scaling>
        <c:delete val="0"/>
        <c:axPos val="l"/>
        <c:majorGridlines/>
        <c:numFmt formatCode="_-* #,##0\ [$€-C0A]_-;\-* #,##0\ [$€-C0A]_-;_-* &quot;-&quot;??\ [$€-C0A]_-;_-@_-" sourceLinked="1"/>
        <c:majorTickMark val="out"/>
        <c:minorTickMark val="none"/>
        <c:tickLblPos val="nextTo"/>
        <c:crossAx val="2850032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EconomiaT38!$B$14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EconomiaT38!$C$14</c:f>
              <c:numCache>
                <c:formatCode>_-* #,##0\ [$€-C0A]_-;\-* #,##0\ [$€-C0A]_-;_-* "-"??\ [$€-C0A]_-;_-@_-</c:formatCode>
                <c:ptCount val="1"/>
                <c:pt idx="0">
                  <c:v>1037788</c:v>
                </c:pt>
              </c:numCache>
            </c:numRef>
          </c:val>
        </c:ser>
        <c:ser>
          <c:idx val="1"/>
          <c:order val="1"/>
          <c:tx>
            <c:strRef>
              <c:f>EconomiaT38!$B$15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EconomiaT38!$C$15</c:f>
              <c:numCache>
                <c:formatCode>_-* #,##0\ [$€-C0A]_-;\-* #,##0\ [$€-C0A]_-;_-* "-"??\ [$€-C0A]_-;_-@_-</c:formatCode>
                <c:ptCount val="1"/>
                <c:pt idx="0">
                  <c:v>303797</c:v>
                </c:pt>
              </c:numCache>
            </c:numRef>
          </c:val>
        </c:ser>
        <c:ser>
          <c:idx val="2"/>
          <c:order val="2"/>
          <c:tx>
            <c:strRef>
              <c:f>EconomiaT38!$B$16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EconomiaT38!$C$16</c:f>
              <c:numCache>
                <c:formatCode>_-* #,##0\ [$€-C0A]_-;\-* #,##0\ [$€-C0A]_-;_-* "-"??\ [$€-C0A]_-;_-@_-</c:formatCode>
                <c:ptCount val="1"/>
                <c:pt idx="0">
                  <c:v>417340</c:v>
                </c:pt>
              </c:numCache>
            </c:numRef>
          </c:val>
        </c:ser>
        <c:ser>
          <c:idx val="3"/>
          <c:order val="3"/>
          <c:tx>
            <c:strRef>
              <c:f>EconomiaT38!$B$17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EconomiaT38!$C$17</c:f>
              <c:numCache>
                <c:formatCode>_-* #,##0\ [$€-C0A]_-;\-* #,##0\ [$€-C0A]_-;_-* "-"??\ [$€-C0A]_-;_-@_-</c:formatCode>
                <c:ptCount val="1"/>
                <c:pt idx="0">
                  <c:v>482400</c:v>
                </c:pt>
              </c:numCache>
            </c:numRef>
          </c:val>
        </c:ser>
        <c:ser>
          <c:idx val="4"/>
          <c:order val="4"/>
          <c:tx>
            <c:strRef>
              <c:f>EconomiaT38!$B$18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EconomiaT38!$C$18</c:f>
              <c:numCache>
                <c:formatCode>_-* #,##0\ [$€-C0A]_-;\-* #,##0\ [$€-C0A]_-;_-* "-"??\ [$€-C0A]_-;_-@_-</c:formatCode>
                <c:ptCount val="1"/>
                <c:pt idx="0">
                  <c:v>320000</c:v>
                </c:pt>
              </c:numCache>
            </c:numRef>
          </c:val>
        </c:ser>
        <c:ser>
          <c:idx val="5"/>
          <c:order val="5"/>
          <c:tx>
            <c:strRef>
              <c:f>EconomiaT38!$B$19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EconomiaT38!$C$19</c:f>
              <c:numCache>
                <c:formatCode>_-* #,##0\ [$€-C0A]_-;\-* #,##0\ [$€-C0A]_-;_-* "-"??\ [$€-C0A]_-;_-@_-</c:formatCode>
                <c:ptCount val="1"/>
                <c:pt idx="0">
                  <c:v>10199955</c:v>
                </c:pt>
              </c:numCache>
            </c:numRef>
          </c:val>
        </c:ser>
        <c:ser>
          <c:idx val="6"/>
          <c:order val="6"/>
          <c:tx>
            <c:strRef>
              <c:f>EconomiaT38!$B$20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EconomiaT36!$A$13</c:f>
              <c:strCache>
                <c:ptCount val="1"/>
                <c:pt idx="0">
                  <c:v>TOTAL INGRESOS</c:v>
                </c:pt>
              </c:strCache>
            </c:strRef>
          </c:cat>
          <c:val>
            <c:numRef>
              <c:f>EconomiaT38!$C$20</c:f>
              <c:numCache>
                <c:formatCode>_-* #,##0\ [$€-C0A]_-;\-* #,##0\ [$€-C0A]_-;_-* "-"??\ [$€-C0A]_-;_-@_-</c:formatCode>
                <c:ptCount val="1"/>
                <c:pt idx="0">
                  <c:v>761672</c:v>
                </c:pt>
              </c:numCache>
            </c:numRef>
          </c:val>
        </c:ser>
        <c:ser>
          <c:idx val="7"/>
          <c:order val="7"/>
          <c:tx>
            <c:strRef>
              <c:f>EconomiaT38!$B$21</c:f>
              <c:strCache>
                <c:ptCount val="1"/>
                <c:pt idx="0">
                  <c:v>Viajes+Venta</c:v>
                </c:pt>
              </c:strCache>
            </c:strRef>
          </c:tx>
          <c:invertIfNegative val="0"/>
          <c:val>
            <c:numRef>
              <c:f>EconomiaT38!$C$21</c:f>
              <c:numCache>
                <c:formatCode>_-* #,##0\ [$€-C0A]_-;\-* #,##0\ [$€-C0A]_-;_-* "-"??\ [$€-C0A]_-;_-@_-</c:formatCode>
                <c:ptCount val="1"/>
                <c:pt idx="0">
                  <c:v>86800</c:v>
                </c:pt>
              </c:numCache>
            </c:numRef>
          </c:val>
        </c:ser>
        <c:ser>
          <c:idx val="8"/>
          <c:order val="8"/>
          <c:tx>
            <c:strRef>
              <c:f>EconomiaT38!$B$22</c:f>
              <c:strCache>
                <c:ptCount val="1"/>
                <c:pt idx="0">
                  <c:v>Intereses</c:v>
                </c:pt>
              </c:strCache>
            </c:strRef>
          </c:tx>
          <c:invertIfNegative val="0"/>
          <c:val>
            <c:numRef>
              <c:f>EconomiaT38!$C$22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5007576"/>
        <c:axId val="290806544"/>
      </c:barChart>
      <c:catAx>
        <c:axId val="285007576"/>
        <c:scaling>
          <c:orientation val="minMax"/>
        </c:scaling>
        <c:delete val="0"/>
        <c:axPos val="b"/>
        <c:numFmt formatCode="General" sourceLinked="0"/>
        <c:majorTickMark val="out"/>
        <c:minorTickMark val="none"/>
        <c:tickLblPos val="nextTo"/>
        <c:crossAx val="290806544"/>
        <c:crosses val="autoZero"/>
        <c:auto val="1"/>
        <c:lblAlgn val="ctr"/>
        <c:lblOffset val="100"/>
        <c:noMultiLvlLbl val="0"/>
      </c:catAx>
      <c:valAx>
        <c:axId val="290806544"/>
        <c:scaling>
          <c:orientation val="minMax"/>
        </c:scaling>
        <c:delete val="0"/>
        <c:axPos val="l"/>
        <c:majorGridlines/>
        <c:numFmt formatCode="_-* #,##0\ [$€-C0A]_-;\-* #,##0\ [$€-C0A]_-;_-* &quot;-&quot;??\ [$€-C0A]_-;_-@_-" sourceLinked="1"/>
        <c:majorTickMark val="out"/>
        <c:minorTickMark val="none"/>
        <c:tickLblPos val="nextTo"/>
        <c:crossAx val="2850075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hyperlink" Target="http://www86.hattrick.org/MyHattrick/Bookmarks/Default.aspx?actionType=add&amp;BookmarkTypeID=10&amp;ObjectID=12004970&amp;ObjectID2=3" TargetMode="External"/><Relationship Id="rId3" Type="http://schemas.openxmlformats.org/officeDocument/2006/relationships/image" Target="../media/image1.gif"/><Relationship Id="rId7" Type="http://schemas.openxmlformats.org/officeDocument/2006/relationships/hyperlink" Target="http://www86.hattrick.org/World/Leagues/League.aspx?LeagueID=7" TargetMode="External"/><Relationship Id="rId2" Type="http://schemas.openxmlformats.org/officeDocument/2006/relationships/hyperlink" Target="http://www86.hattrick.org/Help/Supporter/" TargetMode="External"/><Relationship Id="rId1" Type="http://schemas.openxmlformats.org/officeDocument/2006/relationships/hyperlink" Target="javascript:void(0);" TargetMode="External"/><Relationship Id="rId6" Type="http://schemas.openxmlformats.org/officeDocument/2006/relationships/hyperlink" Target="http://www86.hattrick.org/MyHattrick/Bookmarks/Default.aspx?actionType=add&amp;BookmarkTypeID=10&amp;ObjectID=12004970&amp;ObjectID2=2" TargetMode="External"/><Relationship Id="rId5" Type="http://schemas.openxmlformats.org/officeDocument/2006/relationships/image" Target="../media/image2.gif"/><Relationship Id="rId10" Type="http://schemas.openxmlformats.org/officeDocument/2006/relationships/chart" Target="../charts/chart18.xml"/><Relationship Id="rId4" Type="http://schemas.openxmlformats.org/officeDocument/2006/relationships/hyperlink" Target="javascript:goAnchor('');" TargetMode="External"/><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hyperlink" Target="http://www78.hattrick.org/Help/Supporter/" TargetMode="External"/><Relationship Id="rId1" Type="http://schemas.openxmlformats.org/officeDocument/2006/relationships/image" Target="../media/image2.gif"/></Relationships>
</file>

<file path=xl/drawings/_rels/drawing12.xml.rels><?xml version="1.0" encoding="UTF-8" standalone="yes"?>
<Relationships xmlns="http://schemas.openxmlformats.org/package/2006/relationships"><Relationship Id="rId8" Type="http://schemas.openxmlformats.org/officeDocument/2006/relationships/hyperlink" Target="http://www86.hattrick.org/World/Leagues/League.aspx?LeagueID=7" TargetMode="External"/><Relationship Id="rId3" Type="http://schemas.openxmlformats.org/officeDocument/2006/relationships/hyperlink" Target="http://www86.hattrick.org/Help/Supporter/" TargetMode="External"/><Relationship Id="rId7" Type="http://schemas.openxmlformats.org/officeDocument/2006/relationships/hyperlink" Target="http://www86.hattrick.org/MyHattrick/Bookmarks/Default.aspx?actionType=add&amp;BookmarkTypeID=10&amp;ObjectID=12004970&amp;ObjectID2=3" TargetMode="External"/><Relationship Id="rId2" Type="http://schemas.openxmlformats.org/officeDocument/2006/relationships/hyperlink" Target="javascript:void(0);" TargetMode="External"/><Relationship Id="rId1" Type="http://schemas.openxmlformats.org/officeDocument/2006/relationships/chart" Target="../charts/chart19.xml"/><Relationship Id="rId6" Type="http://schemas.openxmlformats.org/officeDocument/2006/relationships/image" Target="../media/image2.gif"/><Relationship Id="rId5" Type="http://schemas.openxmlformats.org/officeDocument/2006/relationships/hyperlink" Target="javascript:goAnchor('');" TargetMode="External"/><Relationship Id="rId4" Type="http://schemas.openxmlformats.org/officeDocument/2006/relationships/image" Target="../media/image1.gif"/></Relationships>
</file>

<file path=xl/drawings/_rels/drawing13.xml.rels><?xml version="1.0" encoding="UTF-8" standalone="yes"?>
<Relationships xmlns="http://schemas.openxmlformats.org/package/2006/relationships"><Relationship Id="rId3" Type="http://schemas.openxmlformats.org/officeDocument/2006/relationships/hyperlink" Target="https://sites.google.com/site/andreachattrickanalysis/home/hattrick---a-study-on-cards/Immagine03.PNG?attredirects=0" TargetMode="External"/><Relationship Id="rId2" Type="http://schemas.openxmlformats.org/officeDocument/2006/relationships/image" Target="../media/image4.png"/><Relationship Id="rId1" Type="http://schemas.openxmlformats.org/officeDocument/2006/relationships/hyperlink" Target="https://sites.google.com/site/andreachattrickanalysis/home/hattrick---a-study-on-cards/Immagine02.PNG?attredirects=0" TargetMode="External"/><Relationship Id="rId4" Type="http://schemas.openxmlformats.org/officeDocument/2006/relationships/image" Target="../media/image5.png"/></Relationships>
</file>

<file path=xl/drawings/_rels/drawing14.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5.xml.rels><?xml version="1.0" encoding="UTF-8" standalone="yes"?>
<Relationships xmlns="http://schemas.openxmlformats.org/package/2006/relationships"><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15</xdr:col>
      <xdr:colOff>190500</xdr:colOff>
      <xdr:row>1</xdr:row>
      <xdr:rowOff>190499</xdr:rowOff>
    </xdr:from>
    <xdr:to>
      <xdr:col>21</xdr:col>
      <xdr:colOff>264581</xdr:colOff>
      <xdr:row>29</xdr:row>
      <xdr:rowOff>137583</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122</xdr:row>
      <xdr:rowOff>0</xdr:rowOff>
    </xdr:from>
    <xdr:to>
      <xdr:col>0</xdr:col>
      <xdr:colOff>304800</xdr:colOff>
      <xdr:row>123</xdr:row>
      <xdr:rowOff>114300</xdr:rowOff>
    </xdr:to>
    <xdr:sp macro="" textlink="">
      <xdr:nvSpPr>
        <xdr:cNvPr id="3073" name="AutoShape 1" descr="chrome://foxtrick/content/resources/img/copy/copy_yellow_small.png">
          <a:hlinkClick xmlns:r="http://schemas.openxmlformats.org/officeDocument/2006/relationships" r:id="rId1" tooltip="Copiar ID del mensaje al portapapeles"/>
        </xdr:cNvPr>
        <xdr:cNvSpPr>
          <a:spLocks noChangeAspect="1" noChangeArrowheads="1"/>
        </xdr:cNvSpPr>
      </xdr:nvSpPr>
      <xdr:spPr bwMode="auto">
        <a:xfrm>
          <a:off x="0" y="23241000"/>
          <a:ext cx="304800" cy="304800"/>
        </a:xfrm>
        <a:prstGeom prst="rect">
          <a:avLst/>
        </a:prstGeom>
        <a:noFill/>
      </xdr:spPr>
    </xdr:sp>
    <xdr:clientData/>
  </xdr:twoCellAnchor>
  <xdr:twoCellAnchor editAs="oneCell">
    <xdr:from>
      <xdr:col>0</xdr:col>
      <xdr:colOff>0</xdr:colOff>
      <xdr:row>123</xdr:row>
      <xdr:rowOff>0</xdr:rowOff>
    </xdr:from>
    <xdr:to>
      <xdr:col>0</xdr:col>
      <xdr:colOff>95250</xdr:colOff>
      <xdr:row>123</xdr:row>
      <xdr:rowOff>76200</xdr:rowOff>
    </xdr:to>
    <xdr:pic>
      <xdr:nvPicPr>
        <xdr:cNvPr id="3074" name="Picture 2" descr="Hattrick Supporter">
          <a:hlinkClick xmlns:r="http://schemas.openxmlformats.org/officeDocument/2006/relationships" r:id="rId2" tooltip="Hattrick Supporter"/>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3431500"/>
          <a:ext cx="95250" cy="76200"/>
        </a:xfrm>
        <a:prstGeom prst="rect">
          <a:avLst/>
        </a:prstGeom>
        <a:noFill/>
      </xdr:spPr>
    </xdr:pic>
    <xdr:clientData/>
  </xdr:twoCellAnchor>
  <xdr:twoCellAnchor editAs="oneCell">
    <xdr:from>
      <xdr:col>0</xdr:col>
      <xdr:colOff>0</xdr:colOff>
      <xdr:row>124</xdr:row>
      <xdr:rowOff>0</xdr:rowOff>
    </xdr:from>
    <xdr:to>
      <xdr:col>0</xdr:col>
      <xdr:colOff>95250</xdr:colOff>
      <xdr:row>124</xdr:row>
      <xdr:rowOff>76200</xdr:rowOff>
    </xdr:to>
    <xdr:pic>
      <xdr:nvPicPr>
        <xdr:cNvPr id="3075" name="Picture 3" descr="Hattrick Supporter">
          <a:hlinkClick xmlns:r="http://schemas.openxmlformats.org/officeDocument/2006/relationships" r:id="rId2" tooltip="Hattrick Supporter"/>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3622000"/>
          <a:ext cx="95250" cy="76200"/>
        </a:xfrm>
        <a:prstGeom prst="rect">
          <a:avLst/>
        </a:prstGeom>
        <a:noFill/>
      </xdr:spPr>
    </xdr:pic>
    <xdr:clientData/>
  </xdr:twoCellAnchor>
  <xdr:twoCellAnchor editAs="oneCell">
    <xdr:from>
      <xdr:col>0</xdr:col>
      <xdr:colOff>0</xdr:colOff>
      <xdr:row>125</xdr:row>
      <xdr:rowOff>0</xdr:rowOff>
    </xdr:from>
    <xdr:to>
      <xdr:col>0</xdr:col>
      <xdr:colOff>9525</xdr:colOff>
      <xdr:row>125</xdr:row>
      <xdr:rowOff>9525</xdr:rowOff>
    </xdr:to>
    <xdr:pic>
      <xdr:nvPicPr>
        <xdr:cNvPr id="3076" name="Picture 4" descr="¡Volver arriba!">
          <a:hlinkClick xmlns:r="http://schemas.openxmlformats.org/officeDocument/2006/relationships" r:id="rId4"/>
        </xdr:cNvPr>
        <xdr:cNvPicPr>
          <a:picLocks noChangeAspect="1" noChangeArrowheads="1"/>
        </xdr:cNvPicPr>
      </xdr:nvPicPr>
      <xdr:blipFill>
        <a:blip xmlns:r="http://schemas.openxmlformats.org/officeDocument/2006/relationships" r:embed="rId5"/>
        <a:srcRect/>
        <a:stretch>
          <a:fillRect/>
        </a:stretch>
      </xdr:blipFill>
      <xdr:spPr bwMode="auto">
        <a:xfrm>
          <a:off x="0" y="23812500"/>
          <a:ext cx="9525" cy="9525"/>
        </a:xfrm>
        <a:prstGeom prst="rect">
          <a:avLst/>
        </a:prstGeom>
        <a:noFill/>
      </xdr:spPr>
    </xdr:pic>
    <xdr:clientData/>
  </xdr:twoCellAnchor>
  <xdr:twoCellAnchor editAs="oneCell">
    <xdr:from>
      <xdr:col>0</xdr:col>
      <xdr:colOff>0</xdr:colOff>
      <xdr:row>126</xdr:row>
      <xdr:rowOff>0</xdr:rowOff>
    </xdr:from>
    <xdr:to>
      <xdr:col>0</xdr:col>
      <xdr:colOff>9525</xdr:colOff>
      <xdr:row>126</xdr:row>
      <xdr:rowOff>9525</xdr:rowOff>
    </xdr:to>
    <xdr:pic>
      <xdr:nvPicPr>
        <xdr:cNvPr id="3077" name="Picture 5" descr="Añadir este mensaje a tus favoritos">
          <a:hlinkClick xmlns:r="http://schemas.openxmlformats.org/officeDocument/2006/relationships" r:id="rId6" tooltip="Añadir este mensaje a tus favoritos"/>
        </xdr:cNvPr>
        <xdr:cNvPicPr>
          <a:picLocks noChangeAspect="1" noChangeArrowheads="1"/>
        </xdr:cNvPicPr>
      </xdr:nvPicPr>
      <xdr:blipFill>
        <a:blip xmlns:r="http://schemas.openxmlformats.org/officeDocument/2006/relationships" r:embed="rId5"/>
        <a:srcRect/>
        <a:stretch>
          <a:fillRect/>
        </a:stretch>
      </xdr:blipFill>
      <xdr:spPr bwMode="auto">
        <a:xfrm>
          <a:off x="0" y="24003000"/>
          <a:ext cx="9525" cy="9525"/>
        </a:xfrm>
        <a:prstGeom prst="rect">
          <a:avLst/>
        </a:prstGeom>
        <a:noFill/>
      </xdr:spPr>
    </xdr:pic>
    <xdr:clientData/>
  </xdr:twoCellAnchor>
  <xdr:twoCellAnchor editAs="oneCell">
    <xdr:from>
      <xdr:col>0</xdr:col>
      <xdr:colOff>0</xdr:colOff>
      <xdr:row>127</xdr:row>
      <xdr:rowOff>0</xdr:rowOff>
    </xdr:from>
    <xdr:to>
      <xdr:col>0</xdr:col>
      <xdr:colOff>9525</xdr:colOff>
      <xdr:row>127</xdr:row>
      <xdr:rowOff>9525</xdr:rowOff>
    </xdr:to>
    <xdr:pic>
      <xdr:nvPicPr>
        <xdr:cNvPr id="3078" name="ft_copy_posting_link_id1" descr="http://www86.hattrick.org/Img/Icons/transparent.gif"/>
        <xdr:cNvPicPr>
          <a:picLocks noChangeAspect="1" noChangeArrowheads="1"/>
        </xdr:cNvPicPr>
      </xdr:nvPicPr>
      <xdr:blipFill>
        <a:blip xmlns:r="http://schemas.openxmlformats.org/officeDocument/2006/relationships" r:embed="rId5"/>
        <a:srcRect/>
        <a:stretch>
          <a:fillRect/>
        </a:stretch>
      </xdr:blipFill>
      <xdr:spPr bwMode="auto">
        <a:xfrm>
          <a:off x="0" y="24193500"/>
          <a:ext cx="9525" cy="9525"/>
        </a:xfrm>
        <a:prstGeom prst="rect">
          <a:avLst/>
        </a:prstGeom>
        <a:noFill/>
      </xdr:spPr>
    </xdr:pic>
    <xdr:clientData/>
  </xdr:twoCellAnchor>
  <xdr:twoCellAnchor editAs="oneCell">
    <xdr:from>
      <xdr:col>0</xdr:col>
      <xdr:colOff>0</xdr:colOff>
      <xdr:row>130</xdr:row>
      <xdr:rowOff>0</xdr:rowOff>
    </xdr:from>
    <xdr:to>
      <xdr:col>0</xdr:col>
      <xdr:colOff>95250</xdr:colOff>
      <xdr:row>130</xdr:row>
      <xdr:rowOff>76200</xdr:rowOff>
    </xdr:to>
    <xdr:pic>
      <xdr:nvPicPr>
        <xdr:cNvPr id="3086" name="Picture 14" descr="Hattrick Supporter">
          <a:hlinkClick xmlns:r="http://schemas.openxmlformats.org/officeDocument/2006/relationships" r:id="rId2" tooltip="Hattrick Supporter"/>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765000"/>
          <a:ext cx="95250" cy="76200"/>
        </a:xfrm>
        <a:prstGeom prst="rect">
          <a:avLst/>
        </a:prstGeom>
        <a:noFill/>
      </xdr:spPr>
    </xdr:pic>
    <xdr:clientData/>
  </xdr:twoCellAnchor>
  <xdr:twoCellAnchor editAs="oneCell">
    <xdr:from>
      <xdr:col>0</xdr:col>
      <xdr:colOff>0</xdr:colOff>
      <xdr:row>132</xdr:row>
      <xdr:rowOff>0</xdr:rowOff>
    </xdr:from>
    <xdr:to>
      <xdr:col>0</xdr:col>
      <xdr:colOff>9525</xdr:colOff>
      <xdr:row>132</xdr:row>
      <xdr:rowOff>9525</xdr:rowOff>
    </xdr:to>
    <xdr:pic>
      <xdr:nvPicPr>
        <xdr:cNvPr id="3088" name="Picture 16" descr="Argentina">
          <a:hlinkClick xmlns:r="http://schemas.openxmlformats.org/officeDocument/2006/relationships" r:id="rId7"/>
        </xdr:cNvPr>
        <xdr:cNvPicPr>
          <a:picLocks noChangeAspect="1" noChangeArrowheads="1"/>
        </xdr:cNvPicPr>
      </xdr:nvPicPr>
      <xdr:blipFill>
        <a:blip xmlns:r="http://schemas.openxmlformats.org/officeDocument/2006/relationships" r:embed="rId5"/>
        <a:srcRect/>
        <a:stretch>
          <a:fillRect/>
        </a:stretch>
      </xdr:blipFill>
      <xdr:spPr bwMode="auto">
        <a:xfrm>
          <a:off x="0" y="25146000"/>
          <a:ext cx="9525" cy="9525"/>
        </a:xfrm>
        <a:prstGeom prst="rect">
          <a:avLst/>
        </a:prstGeom>
        <a:noFill/>
      </xdr:spPr>
    </xdr:pic>
    <xdr:clientData/>
  </xdr:twoCellAnchor>
  <xdr:twoCellAnchor editAs="oneCell">
    <xdr:from>
      <xdr:col>0</xdr:col>
      <xdr:colOff>0</xdr:colOff>
      <xdr:row>220</xdr:row>
      <xdr:rowOff>0</xdr:rowOff>
    </xdr:from>
    <xdr:to>
      <xdr:col>0</xdr:col>
      <xdr:colOff>304800</xdr:colOff>
      <xdr:row>221</xdr:row>
      <xdr:rowOff>114300</xdr:rowOff>
    </xdr:to>
    <xdr:sp macro="" textlink="">
      <xdr:nvSpPr>
        <xdr:cNvPr id="3089" name="AutoShape 17" descr="chrome://foxtrick/content/resources/img/copy/copy_yellow_small.png">
          <a:hlinkClick xmlns:r="http://schemas.openxmlformats.org/officeDocument/2006/relationships" r:id="rId1" tooltip="Copiar ID del mensaje al portapapeles"/>
        </xdr:cNvPr>
        <xdr:cNvSpPr>
          <a:spLocks noChangeAspect="1" noChangeArrowheads="1"/>
        </xdr:cNvSpPr>
      </xdr:nvSpPr>
      <xdr:spPr bwMode="auto">
        <a:xfrm>
          <a:off x="0" y="41910000"/>
          <a:ext cx="304800" cy="304800"/>
        </a:xfrm>
        <a:prstGeom prst="rect">
          <a:avLst/>
        </a:prstGeom>
        <a:noFill/>
      </xdr:spPr>
    </xdr:sp>
    <xdr:clientData/>
  </xdr:twoCellAnchor>
  <xdr:twoCellAnchor editAs="oneCell">
    <xdr:from>
      <xdr:col>0</xdr:col>
      <xdr:colOff>0</xdr:colOff>
      <xdr:row>221</xdr:row>
      <xdr:rowOff>0</xdr:rowOff>
    </xdr:from>
    <xdr:to>
      <xdr:col>0</xdr:col>
      <xdr:colOff>95250</xdr:colOff>
      <xdr:row>221</xdr:row>
      <xdr:rowOff>76200</xdr:rowOff>
    </xdr:to>
    <xdr:pic>
      <xdr:nvPicPr>
        <xdr:cNvPr id="3090" name="Picture 18" descr="Hattrick Supporter">
          <a:hlinkClick xmlns:r="http://schemas.openxmlformats.org/officeDocument/2006/relationships" r:id="rId2" tooltip="Hattrick Supporter"/>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2100500"/>
          <a:ext cx="95250" cy="76200"/>
        </a:xfrm>
        <a:prstGeom prst="rect">
          <a:avLst/>
        </a:prstGeom>
        <a:noFill/>
      </xdr:spPr>
    </xdr:pic>
    <xdr:clientData/>
  </xdr:twoCellAnchor>
  <xdr:twoCellAnchor editAs="oneCell">
    <xdr:from>
      <xdr:col>0</xdr:col>
      <xdr:colOff>0</xdr:colOff>
      <xdr:row>222</xdr:row>
      <xdr:rowOff>0</xdr:rowOff>
    </xdr:from>
    <xdr:to>
      <xdr:col>0</xdr:col>
      <xdr:colOff>9525</xdr:colOff>
      <xdr:row>222</xdr:row>
      <xdr:rowOff>9525</xdr:rowOff>
    </xdr:to>
    <xdr:pic>
      <xdr:nvPicPr>
        <xdr:cNvPr id="3091" name="Picture 19" descr="¡Volver arriba!">
          <a:hlinkClick xmlns:r="http://schemas.openxmlformats.org/officeDocument/2006/relationships" r:id="rId4"/>
        </xdr:cNvPr>
        <xdr:cNvPicPr>
          <a:picLocks noChangeAspect="1" noChangeArrowheads="1"/>
        </xdr:cNvPicPr>
      </xdr:nvPicPr>
      <xdr:blipFill>
        <a:blip xmlns:r="http://schemas.openxmlformats.org/officeDocument/2006/relationships" r:embed="rId5"/>
        <a:srcRect/>
        <a:stretch>
          <a:fillRect/>
        </a:stretch>
      </xdr:blipFill>
      <xdr:spPr bwMode="auto">
        <a:xfrm>
          <a:off x="0" y="42291000"/>
          <a:ext cx="9525" cy="9525"/>
        </a:xfrm>
        <a:prstGeom prst="rect">
          <a:avLst/>
        </a:prstGeom>
        <a:noFill/>
      </xdr:spPr>
    </xdr:pic>
    <xdr:clientData/>
  </xdr:twoCellAnchor>
  <xdr:twoCellAnchor editAs="oneCell">
    <xdr:from>
      <xdr:col>0</xdr:col>
      <xdr:colOff>0</xdr:colOff>
      <xdr:row>223</xdr:row>
      <xdr:rowOff>0</xdr:rowOff>
    </xdr:from>
    <xdr:to>
      <xdr:col>0</xdr:col>
      <xdr:colOff>9525</xdr:colOff>
      <xdr:row>223</xdr:row>
      <xdr:rowOff>9525</xdr:rowOff>
    </xdr:to>
    <xdr:pic>
      <xdr:nvPicPr>
        <xdr:cNvPr id="3092" name="Picture 20" descr="Añadir este mensaje a tus favoritos">
          <a:hlinkClick xmlns:r="http://schemas.openxmlformats.org/officeDocument/2006/relationships" r:id="rId8" tooltip="Añadir este mensaje a tus favoritos"/>
        </xdr:cNvPr>
        <xdr:cNvPicPr>
          <a:picLocks noChangeAspect="1" noChangeArrowheads="1"/>
        </xdr:cNvPicPr>
      </xdr:nvPicPr>
      <xdr:blipFill>
        <a:blip xmlns:r="http://schemas.openxmlformats.org/officeDocument/2006/relationships" r:embed="rId5"/>
        <a:srcRect/>
        <a:stretch>
          <a:fillRect/>
        </a:stretch>
      </xdr:blipFill>
      <xdr:spPr bwMode="auto">
        <a:xfrm>
          <a:off x="0" y="42481500"/>
          <a:ext cx="9525" cy="9525"/>
        </a:xfrm>
        <a:prstGeom prst="rect">
          <a:avLst/>
        </a:prstGeom>
        <a:noFill/>
      </xdr:spPr>
    </xdr:pic>
    <xdr:clientData/>
  </xdr:twoCellAnchor>
  <xdr:twoCellAnchor editAs="oneCell">
    <xdr:from>
      <xdr:col>0</xdr:col>
      <xdr:colOff>0</xdr:colOff>
      <xdr:row>224</xdr:row>
      <xdr:rowOff>0</xdr:rowOff>
    </xdr:from>
    <xdr:to>
      <xdr:col>0</xdr:col>
      <xdr:colOff>9525</xdr:colOff>
      <xdr:row>224</xdr:row>
      <xdr:rowOff>9525</xdr:rowOff>
    </xdr:to>
    <xdr:pic>
      <xdr:nvPicPr>
        <xdr:cNvPr id="3093" name="ft_copy_posting_link_id2" descr="http://www86.hattrick.org/Img/Icons/transparent.gif"/>
        <xdr:cNvPicPr>
          <a:picLocks noChangeAspect="1" noChangeArrowheads="1"/>
        </xdr:cNvPicPr>
      </xdr:nvPicPr>
      <xdr:blipFill>
        <a:blip xmlns:r="http://schemas.openxmlformats.org/officeDocument/2006/relationships" r:embed="rId5"/>
        <a:srcRect/>
        <a:stretch>
          <a:fillRect/>
        </a:stretch>
      </xdr:blipFill>
      <xdr:spPr bwMode="auto">
        <a:xfrm>
          <a:off x="0" y="42672000"/>
          <a:ext cx="9525" cy="9525"/>
        </a:xfrm>
        <a:prstGeom prst="rect">
          <a:avLst/>
        </a:prstGeom>
        <a:noFill/>
      </xdr:spPr>
    </xdr:pic>
    <xdr:clientData/>
  </xdr:twoCellAnchor>
  <xdr:twoCellAnchor editAs="oneCell">
    <xdr:from>
      <xdr:col>0</xdr:col>
      <xdr:colOff>0</xdr:colOff>
      <xdr:row>227</xdr:row>
      <xdr:rowOff>0</xdr:rowOff>
    </xdr:from>
    <xdr:to>
      <xdr:col>0</xdr:col>
      <xdr:colOff>95250</xdr:colOff>
      <xdr:row>227</xdr:row>
      <xdr:rowOff>76200</xdr:rowOff>
    </xdr:to>
    <xdr:pic>
      <xdr:nvPicPr>
        <xdr:cNvPr id="3101" name="Picture 29" descr="Hattrick Supporter">
          <a:hlinkClick xmlns:r="http://schemas.openxmlformats.org/officeDocument/2006/relationships" r:id="rId2" tooltip="Hattrick Supporter"/>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3243500"/>
          <a:ext cx="95250" cy="76200"/>
        </a:xfrm>
        <a:prstGeom prst="rect">
          <a:avLst/>
        </a:prstGeom>
        <a:noFill/>
      </xdr:spPr>
    </xdr:pic>
    <xdr:clientData/>
  </xdr:twoCellAnchor>
  <xdr:twoCellAnchor editAs="oneCell">
    <xdr:from>
      <xdr:col>0</xdr:col>
      <xdr:colOff>0</xdr:colOff>
      <xdr:row>229</xdr:row>
      <xdr:rowOff>0</xdr:rowOff>
    </xdr:from>
    <xdr:to>
      <xdr:col>0</xdr:col>
      <xdr:colOff>9525</xdr:colOff>
      <xdr:row>229</xdr:row>
      <xdr:rowOff>9525</xdr:rowOff>
    </xdr:to>
    <xdr:pic>
      <xdr:nvPicPr>
        <xdr:cNvPr id="3103" name="Picture 31" descr="Argentina">
          <a:hlinkClick xmlns:r="http://schemas.openxmlformats.org/officeDocument/2006/relationships" r:id="rId7"/>
        </xdr:cNvPr>
        <xdr:cNvPicPr>
          <a:picLocks noChangeAspect="1" noChangeArrowheads="1"/>
        </xdr:cNvPicPr>
      </xdr:nvPicPr>
      <xdr:blipFill>
        <a:blip xmlns:r="http://schemas.openxmlformats.org/officeDocument/2006/relationships" r:embed="rId5"/>
        <a:srcRect/>
        <a:stretch>
          <a:fillRect/>
        </a:stretch>
      </xdr:blipFill>
      <xdr:spPr bwMode="auto">
        <a:xfrm>
          <a:off x="0" y="43624500"/>
          <a:ext cx="9525" cy="9525"/>
        </a:xfrm>
        <a:prstGeom prst="rect">
          <a:avLst/>
        </a:prstGeom>
        <a:noFill/>
      </xdr:spPr>
    </xdr:pic>
    <xdr:clientData/>
  </xdr:twoCellAnchor>
  <xdr:twoCellAnchor editAs="oneCell">
    <xdr:from>
      <xdr:col>0</xdr:col>
      <xdr:colOff>0</xdr:colOff>
      <xdr:row>107</xdr:row>
      <xdr:rowOff>0</xdr:rowOff>
    </xdr:from>
    <xdr:to>
      <xdr:col>0</xdr:col>
      <xdr:colOff>304800</xdr:colOff>
      <xdr:row>108</xdr:row>
      <xdr:rowOff>114300</xdr:rowOff>
    </xdr:to>
    <xdr:sp macro="" textlink="">
      <xdr:nvSpPr>
        <xdr:cNvPr id="33" name="AutoShape 1" descr="chrome://foxtrick/content/resources/img/copy/copy_yellow_small.png">
          <a:hlinkClick xmlns:r="http://schemas.openxmlformats.org/officeDocument/2006/relationships" r:id="rId1" tooltip="Copiar ID del mensaje al portapapeles"/>
        </xdr:cNvPr>
        <xdr:cNvSpPr>
          <a:spLocks noChangeAspect="1" noChangeArrowheads="1"/>
        </xdr:cNvSpPr>
      </xdr:nvSpPr>
      <xdr:spPr bwMode="auto">
        <a:xfrm>
          <a:off x="0" y="20383500"/>
          <a:ext cx="304800" cy="304800"/>
        </a:xfrm>
        <a:prstGeom prst="rect">
          <a:avLst/>
        </a:prstGeom>
        <a:noFill/>
      </xdr:spPr>
    </xdr:sp>
    <xdr:clientData/>
  </xdr:twoCellAnchor>
  <xdr:twoCellAnchor editAs="oneCell">
    <xdr:from>
      <xdr:col>0</xdr:col>
      <xdr:colOff>0</xdr:colOff>
      <xdr:row>107</xdr:row>
      <xdr:rowOff>0</xdr:rowOff>
    </xdr:from>
    <xdr:to>
      <xdr:col>0</xdr:col>
      <xdr:colOff>95250</xdr:colOff>
      <xdr:row>107</xdr:row>
      <xdr:rowOff>76200</xdr:rowOff>
    </xdr:to>
    <xdr:pic>
      <xdr:nvPicPr>
        <xdr:cNvPr id="34" name="Picture 2" descr="Hattrick Supporter">
          <a:hlinkClick xmlns:r="http://schemas.openxmlformats.org/officeDocument/2006/relationships" r:id="rId2" tooltip="Hattrick Supporter"/>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0383500"/>
          <a:ext cx="95250" cy="76200"/>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35" name="Picture 3" descr="Hattrick Supporter">
          <a:hlinkClick xmlns:r="http://schemas.openxmlformats.org/officeDocument/2006/relationships" r:id="rId2" tooltip="Hattrick Supporter"/>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0383500"/>
          <a:ext cx="95250" cy="76200"/>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36" name="Picture 4" descr="¡Volver arriba!">
          <a:hlinkClick xmlns:r="http://schemas.openxmlformats.org/officeDocument/2006/relationships" r:id="rId4"/>
        </xdr:cNvPr>
        <xdr:cNvPicPr>
          <a:picLocks noChangeAspect="1" noChangeArrowheads="1"/>
        </xdr:cNvPicPr>
      </xdr:nvPicPr>
      <xdr:blipFill>
        <a:blip xmlns:r="http://schemas.openxmlformats.org/officeDocument/2006/relationships" r:embed="rId5"/>
        <a:srcRect/>
        <a:stretch>
          <a:fillRect/>
        </a:stretch>
      </xdr:blipFill>
      <xdr:spPr bwMode="auto">
        <a:xfrm>
          <a:off x="0" y="2038350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37" name="Picture 5" descr="Añadir este mensaje a tus favoritos">
          <a:hlinkClick xmlns:r="http://schemas.openxmlformats.org/officeDocument/2006/relationships" r:id="rId6" tooltip="Añadir este mensaje a tus favoritos"/>
        </xdr:cNvPr>
        <xdr:cNvPicPr>
          <a:picLocks noChangeAspect="1" noChangeArrowheads="1"/>
        </xdr:cNvPicPr>
      </xdr:nvPicPr>
      <xdr:blipFill>
        <a:blip xmlns:r="http://schemas.openxmlformats.org/officeDocument/2006/relationships" r:embed="rId5"/>
        <a:srcRect/>
        <a:stretch>
          <a:fillRect/>
        </a:stretch>
      </xdr:blipFill>
      <xdr:spPr bwMode="auto">
        <a:xfrm>
          <a:off x="0" y="2038350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38" name="ft_copy_posting_link_id1" descr="http://www86.hattrick.org/Img/Icons/transparent.gif"/>
        <xdr:cNvPicPr>
          <a:picLocks noChangeAspect="1" noChangeArrowheads="1"/>
        </xdr:cNvPicPr>
      </xdr:nvPicPr>
      <xdr:blipFill>
        <a:blip xmlns:r="http://schemas.openxmlformats.org/officeDocument/2006/relationships" r:embed="rId5"/>
        <a:srcRect/>
        <a:stretch>
          <a:fillRect/>
        </a:stretch>
      </xdr:blipFill>
      <xdr:spPr bwMode="auto">
        <a:xfrm>
          <a:off x="0" y="20383500"/>
          <a:ext cx="9525" cy="9525"/>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39" name="Picture 14" descr="Hattrick Supporter">
          <a:hlinkClick xmlns:r="http://schemas.openxmlformats.org/officeDocument/2006/relationships" r:id="rId2" tooltip="Hattrick Supporter"/>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0383500"/>
          <a:ext cx="95250" cy="76200"/>
        </a:xfrm>
        <a:prstGeom prst="rect">
          <a:avLst/>
        </a:prstGeom>
        <a:noFill/>
      </xdr:spPr>
    </xdr:pic>
    <xdr:clientData/>
  </xdr:twoCellAnchor>
  <xdr:twoCellAnchor editAs="oneCell">
    <xdr:from>
      <xdr:col>0</xdr:col>
      <xdr:colOff>104775</xdr:colOff>
      <xdr:row>107</xdr:row>
      <xdr:rowOff>0</xdr:rowOff>
    </xdr:from>
    <xdr:to>
      <xdr:col>0</xdr:col>
      <xdr:colOff>257175</xdr:colOff>
      <xdr:row>107</xdr:row>
      <xdr:rowOff>123825</xdr:rowOff>
    </xdr:to>
    <xdr:pic>
      <xdr:nvPicPr>
        <xdr:cNvPr id="40" name="Picture 15" descr="¡Conectado!"/>
        <xdr:cNvPicPr>
          <a:picLocks noChangeAspect="1" noChangeArrowheads="1"/>
        </xdr:cNvPicPr>
      </xdr:nvPicPr>
      <xdr:blipFill>
        <a:blip xmlns:r="http://schemas.openxmlformats.org/officeDocument/2006/relationships" r:embed="rId9" cstate="print"/>
        <a:srcRect/>
        <a:stretch>
          <a:fillRect/>
        </a:stretch>
      </xdr:blipFill>
      <xdr:spPr bwMode="auto">
        <a:xfrm>
          <a:off x="104775" y="20383500"/>
          <a:ext cx="152400" cy="1238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41" name="Picture 16" descr="Argentina">
          <a:hlinkClick xmlns:r="http://schemas.openxmlformats.org/officeDocument/2006/relationships" r:id="rId7"/>
        </xdr:cNvPr>
        <xdr:cNvPicPr>
          <a:picLocks noChangeAspect="1" noChangeArrowheads="1"/>
        </xdr:cNvPicPr>
      </xdr:nvPicPr>
      <xdr:blipFill>
        <a:blip xmlns:r="http://schemas.openxmlformats.org/officeDocument/2006/relationships" r:embed="rId5"/>
        <a:srcRect/>
        <a:stretch>
          <a:fillRect/>
        </a:stretch>
      </xdr:blipFill>
      <xdr:spPr bwMode="auto">
        <a:xfrm>
          <a:off x="0" y="20383500"/>
          <a:ext cx="9525" cy="9525"/>
        </a:xfrm>
        <a:prstGeom prst="rect">
          <a:avLst/>
        </a:prstGeom>
        <a:noFill/>
      </xdr:spPr>
    </xdr:pic>
    <xdr:clientData/>
  </xdr:twoCellAnchor>
  <xdr:twoCellAnchor editAs="oneCell">
    <xdr:from>
      <xdr:col>0</xdr:col>
      <xdr:colOff>0</xdr:colOff>
      <xdr:row>187</xdr:row>
      <xdr:rowOff>0</xdr:rowOff>
    </xdr:from>
    <xdr:to>
      <xdr:col>0</xdr:col>
      <xdr:colOff>304800</xdr:colOff>
      <xdr:row>188</xdr:row>
      <xdr:rowOff>114300</xdr:rowOff>
    </xdr:to>
    <xdr:sp macro="" textlink="">
      <xdr:nvSpPr>
        <xdr:cNvPr id="42" name="AutoShape 17" descr="chrome://foxtrick/content/resources/img/copy/copy_yellow_small.png">
          <a:hlinkClick xmlns:r="http://schemas.openxmlformats.org/officeDocument/2006/relationships" r:id="rId1" tooltip="Copiar ID del mensaje al portapapeles"/>
        </xdr:cNvPr>
        <xdr:cNvSpPr>
          <a:spLocks noChangeAspect="1" noChangeArrowheads="1"/>
        </xdr:cNvSpPr>
      </xdr:nvSpPr>
      <xdr:spPr bwMode="auto">
        <a:xfrm>
          <a:off x="0" y="35623500"/>
          <a:ext cx="304800" cy="304800"/>
        </a:xfrm>
        <a:prstGeom prst="rect">
          <a:avLst/>
        </a:prstGeom>
        <a:noFill/>
      </xdr:spPr>
    </xdr:sp>
    <xdr:clientData/>
  </xdr:twoCellAnchor>
  <xdr:twoCellAnchor editAs="oneCell">
    <xdr:from>
      <xdr:col>0</xdr:col>
      <xdr:colOff>0</xdr:colOff>
      <xdr:row>187</xdr:row>
      <xdr:rowOff>0</xdr:rowOff>
    </xdr:from>
    <xdr:to>
      <xdr:col>0</xdr:col>
      <xdr:colOff>95250</xdr:colOff>
      <xdr:row>187</xdr:row>
      <xdr:rowOff>76200</xdr:rowOff>
    </xdr:to>
    <xdr:pic>
      <xdr:nvPicPr>
        <xdr:cNvPr id="43" name="Picture 18" descr="Hattrick Supporter">
          <a:hlinkClick xmlns:r="http://schemas.openxmlformats.org/officeDocument/2006/relationships" r:id="rId2" tooltip="Hattrick Supporter"/>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562350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44" name="Picture 19" descr="¡Volver arriba!">
          <a:hlinkClick xmlns:r="http://schemas.openxmlformats.org/officeDocument/2006/relationships" r:id="rId4"/>
        </xdr:cNvPr>
        <xdr:cNvPicPr>
          <a:picLocks noChangeAspect="1" noChangeArrowheads="1"/>
        </xdr:cNvPicPr>
      </xdr:nvPicPr>
      <xdr:blipFill>
        <a:blip xmlns:r="http://schemas.openxmlformats.org/officeDocument/2006/relationships" r:embed="rId5"/>
        <a:srcRect/>
        <a:stretch>
          <a:fillRect/>
        </a:stretch>
      </xdr:blipFill>
      <xdr:spPr bwMode="auto">
        <a:xfrm>
          <a:off x="0" y="3562350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45" name="Picture 20" descr="Añadir este mensaje a tus favoritos">
          <a:hlinkClick xmlns:r="http://schemas.openxmlformats.org/officeDocument/2006/relationships" r:id="rId8" tooltip="Añadir este mensaje a tus favoritos"/>
        </xdr:cNvPr>
        <xdr:cNvPicPr>
          <a:picLocks noChangeAspect="1" noChangeArrowheads="1"/>
        </xdr:cNvPicPr>
      </xdr:nvPicPr>
      <xdr:blipFill>
        <a:blip xmlns:r="http://schemas.openxmlformats.org/officeDocument/2006/relationships" r:embed="rId5"/>
        <a:srcRect/>
        <a:stretch>
          <a:fillRect/>
        </a:stretch>
      </xdr:blipFill>
      <xdr:spPr bwMode="auto">
        <a:xfrm>
          <a:off x="0" y="3562350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46" name="ft_copy_posting_link_id2" descr="http://www86.hattrick.org/Img/Icons/transparent.gif"/>
        <xdr:cNvPicPr>
          <a:picLocks noChangeAspect="1" noChangeArrowheads="1"/>
        </xdr:cNvPicPr>
      </xdr:nvPicPr>
      <xdr:blipFill>
        <a:blip xmlns:r="http://schemas.openxmlformats.org/officeDocument/2006/relationships" r:embed="rId5"/>
        <a:srcRect/>
        <a:stretch>
          <a:fillRect/>
        </a:stretch>
      </xdr:blipFill>
      <xdr:spPr bwMode="auto">
        <a:xfrm>
          <a:off x="0" y="35623500"/>
          <a:ext cx="9525" cy="9525"/>
        </a:xfrm>
        <a:prstGeom prst="rect">
          <a:avLst/>
        </a:prstGeom>
        <a:noFill/>
      </xdr:spPr>
    </xdr:pic>
    <xdr:clientData/>
  </xdr:twoCellAnchor>
  <xdr:twoCellAnchor editAs="oneCell">
    <xdr:from>
      <xdr:col>0</xdr:col>
      <xdr:colOff>0</xdr:colOff>
      <xdr:row>187</xdr:row>
      <xdr:rowOff>0</xdr:rowOff>
    </xdr:from>
    <xdr:to>
      <xdr:col>0</xdr:col>
      <xdr:colOff>95250</xdr:colOff>
      <xdr:row>187</xdr:row>
      <xdr:rowOff>76200</xdr:rowOff>
    </xdr:to>
    <xdr:pic>
      <xdr:nvPicPr>
        <xdr:cNvPr id="47" name="Picture 29" descr="Hattrick Supporter">
          <a:hlinkClick xmlns:r="http://schemas.openxmlformats.org/officeDocument/2006/relationships" r:id="rId2" tooltip="Hattrick Supporter"/>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562350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48" name="Picture 31" descr="Argentina">
          <a:hlinkClick xmlns:r="http://schemas.openxmlformats.org/officeDocument/2006/relationships" r:id="rId7"/>
        </xdr:cNvPr>
        <xdr:cNvPicPr>
          <a:picLocks noChangeAspect="1" noChangeArrowheads="1"/>
        </xdr:cNvPicPr>
      </xdr:nvPicPr>
      <xdr:blipFill>
        <a:blip xmlns:r="http://schemas.openxmlformats.org/officeDocument/2006/relationships" r:embed="rId5"/>
        <a:srcRect/>
        <a:stretch>
          <a:fillRect/>
        </a:stretch>
      </xdr:blipFill>
      <xdr:spPr bwMode="auto">
        <a:xfrm>
          <a:off x="0" y="35623500"/>
          <a:ext cx="9525" cy="9525"/>
        </a:xfrm>
        <a:prstGeom prst="rect">
          <a:avLst/>
        </a:prstGeom>
        <a:noFill/>
      </xdr:spPr>
    </xdr:pic>
    <xdr:clientData/>
  </xdr:twoCellAnchor>
  <xdr:twoCellAnchor>
    <xdr:from>
      <xdr:col>6</xdr:col>
      <xdr:colOff>390525</xdr:colOff>
      <xdr:row>10</xdr:row>
      <xdr:rowOff>171450</xdr:rowOff>
    </xdr:from>
    <xdr:to>
      <xdr:col>7</xdr:col>
      <xdr:colOff>409575</xdr:colOff>
      <xdr:row>25</xdr:row>
      <xdr:rowOff>57150</xdr:rowOff>
    </xdr:to>
    <xdr:graphicFrame macro="">
      <xdr:nvGraphicFramePr>
        <xdr:cNvPr id="49" name="4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0</xdr:col>
      <xdr:colOff>9525</xdr:colOff>
      <xdr:row>7</xdr:row>
      <xdr:rowOff>9525</xdr:rowOff>
    </xdr:to>
    <xdr:pic>
      <xdr:nvPicPr>
        <xdr:cNvPr id="16385" name="Picture 1" descr="http://www78.hattrick.org/Img/Icons/transparent.gif"/>
        <xdr:cNvPicPr>
          <a:picLocks noChangeAspect="1" noChangeArrowheads="1"/>
        </xdr:cNvPicPr>
      </xdr:nvPicPr>
      <xdr:blipFill>
        <a:blip xmlns:r="http://schemas.openxmlformats.org/officeDocument/2006/relationships" r:embed="rId1"/>
        <a:srcRect/>
        <a:stretch>
          <a:fillRect/>
        </a:stretch>
      </xdr:blipFill>
      <xdr:spPr bwMode="auto">
        <a:xfrm>
          <a:off x="0" y="54254400"/>
          <a:ext cx="9525" cy="9525"/>
        </a:xfrm>
        <a:prstGeom prst="rect">
          <a:avLst/>
        </a:prstGeom>
        <a:noFill/>
      </xdr:spPr>
    </xdr:pic>
    <xdr:clientData/>
  </xdr:twoCellAnchor>
  <xdr:twoCellAnchor editAs="oneCell">
    <xdr:from>
      <xdr:col>0</xdr:col>
      <xdr:colOff>0</xdr:colOff>
      <xdr:row>7</xdr:row>
      <xdr:rowOff>0</xdr:rowOff>
    </xdr:from>
    <xdr:to>
      <xdr:col>0</xdr:col>
      <xdr:colOff>95250</xdr:colOff>
      <xdr:row>7</xdr:row>
      <xdr:rowOff>76200</xdr:rowOff>
    </xdr:to>
    <xdr:pic>
      <xdr:nvPicPr>
        <xdr:cNvPr id="16386" name="Picture 2" descr="Hattrick Supporter">
          <a:hlinkClick xmlns:r="http://schemas.openxmlformats.org/officeDocument/2006/relationships" r:id="rId2" tooltip="Hattrick Supporter"/>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54444900"/>
          <a:ext cx="95250" cy="76200"/>
        </a:xfrm>
        <a:prstGeom prst="rect">
          <a:avLst/>
        </a:prstGeom>
        <a:noFill/>
      </xdr:spPr>
    </xdr:pic>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503462</xdr:colOff>
      <xdr:row>0</xdr:row>
      <xdr:rowOff>136072</xdr:rowOff>
    </xdr:from>
    <xdr:to>
      <xdr:col>21</xdr:col>
      <xdr:colOff>244927</xdr:colOff>
      <xdr:row>49</xdr:row>
      <xdr:rowOff>136071</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31</xdr:row>
      <xdr:rowOff>0</xdr:rowOff>
    </xdr:from>
    <xdr:to>
      <xdr:col>9</xdr:col>
      <xdr:colOff>304800</xdr:colOff>
      <xdr:row>32</xdr:row>
      <xdr:rowOff>114300</xdr:rowOff>
    </xdr:to>
    <xdr:sp macro="" textlink="">
      <xdr:nvSpPr>
        <xdr:cNvPr id="3" name="AutoShape 17" descr="chrome://foxtrick/content/resources/img/copy/copy_yellow_small.png">
          <a:hlinkClick xmlns:r="http://schemas.openxmlformats.org/officeDocument/2006/relationships" r:id="rId2" tooltip="Copiar ID del mensaje al portapapeles"/>
        </xdr:cNvPr>
        <xdr:cNvSpPr>
          <a:spLocks noChangeAspect="1" noChangeArrowheads="1"/>
        </xdr:cNvSpPr>
      </xdr:nvSpPr>
      <xdr:spPr bwMode="auto">
        <a:xfrm>
          <a:off x="0" y="41910000"/>
          <a:ext cx="304800" cy="304800"/>
        </a:xfrm>
        <a:prstGeom prst="rect">
          <a:avLst/>
        </a:prstGeom>
        <a:noFill/>
      </xdr:spPr>
    </xdr:sp>
    <xdr:clientData/>
  </xdr:twoCellAnchor>
  <xdr:twoCellAnchor editAs="oneCell">
    <xdr:from>
      <xdr:col>9</xdr:col>
      <xdr:colOff>0</xdr:colOff>
      <xdr:row>32</xdr:row>
      <xdr:rowOff>0</xdr:rowOff>
    </xdr:from>
    <xdr:to>
      <xdr:col>9</xdr:col>
      <xdr:colOff>95250</xdr:colOff>
      <xdr:row>32</xdr:row>
      <xdr:rowOff>76200</xdr:rowOff>
    </xdr:to>
    <xdr:pic>
      <xdr:nvPicPr>
        <xdr:cNvPr id="4" name="Picture 18" descr="Hattrick Supporter">
          <a:hlinkClick xmlns:r="http://schemas.openxmlformats.org/officeDocument/2006/relationships" r:id="rId3" tooltip="Hattrick Supporter"/>
        </xdr:cNvPr>
        <xdr:cNvPicPr>
          <a:picLocks noChangeAspect="1" noChangeArrowheads="1"/>
        </xdr:cNvPicPr>
      </xdr:nvPicPr>
      <xdr:blipFill>
        <a:blip xmlns:r="http://schemas.openxmlformats.org/officeDocument/2006/relationships" r:embed="rId4" cstate="print"/>
        <a:srcRect/>
        <a:stretch>
          <a:fillRect/>
        </a:stretch>
      </xdr:blipFill>
      <xdr:spPr bwMode="auto">
        <a:xfrm>
          <a:off x="0" y="42100500"/>
          <a:ext cx="95250" cy="76200"/>
        </a:xfrm>
        <a:prstGeom prst="rect">
          <a:avLst/>
        </a:prstGeom>
        <a:noFill/>
      </xdr:spPr>
    </xdr:pic>
    <xdr:clientData/>
  </xdr:twoCellAnchor>
  <xdr:twoCellAnchor editAs="oneCell">
    <xdr:from>
      <xdr:col>9</xdr:col>
      <xdr:colOff>0</xdr:colOff>
      <xdr:row>33</xdr:row>
      <xdr:rowOff>0</xdr:rowOff>
    </xdr:from>
    <xdr:to>
      <xdr:col>9</xdr:col>
      <xdr:colOff>9525</xdr:colOff>
      <xdr:row>33</xdr:row>
      <xdr:rowOff>9525</xdr:rowOff>
    </xdr:to>
    <xdr:pic>
      <xdr:nvPicPr>
        <xdr:cNvPr id="5" name="Picture 19" descr="¡Volver arriba!">
          <a:hlinkClick xmlns:r="http://schemas.openxmlformats.org/officeDocument/2006/relationships" r:id="rId5"/>
        </xdr:cNvPr>
        <xdr:cNvPicPr>
          <a:picLocks noChangeAspect="1" noChangeArrowheads="1"/>
        </xdr:cNvPicPr>
      </xdr:nvPicPr>
      <xdr:blipFill>
        <a:blip xmlns:r="http://schemas.openxmlformats.org/officeDocument/2006/relationships" r:embed="rId6"/>
        <a:srcRect/>
        <a:stretch>
          <a:fillRect/>
        </a:stretch>
      </xdr:blipFill>
      <xdr:spPr bwMode="auto">
        <a:xfrm>
          <a:off x="0" y="42291000"/>
          <a:ext cx="9525" cy="9525"/>
        </a:xfrm>
        <a:prstGeom prst="rect">
          <a:avLst/>
        </a:prstGeom>
        <a:noFill/>
      </xdr:spPr>
    </xdr:pic>
    <xdr:clientData/>
  </xdr:twoCellAnchor>
  <xdr:twoCellAnchor editAs="oneCell">
    <xdr:from>
      <xdr:col>9</xdr:col>
      <xdr:colOff>0</xdr:colOff>
      <xdr:row>34</xdr:row>
      <xdr:rowOff>0</xdr:rowOff>
    </xdr:from>
    <xdr:to>
      <xdr:col>9</xdr:col>
      <xdr:colOff>9525</xdr:colOff>
      <xdr:row>34</xdr:row>
      <xdr:rowOff>9525</xdr:rowOff>
    </xdr:to>
    <xdr:pic>
      <xdr:nvPicPr>
        <xdr:cNvPr id="6" name="Picture 20" descr="Añadir este mensaje a tus favoritos">
          <a:hlinkClick xmlns:r="http://schemas.openxmlformats.org/officeDocument/2006/relationships" r:id="rId7" tooltip="Añadir este mensaje a tus favoritos"/>
        </xdr:cNvPr>
        <xdr:cNvPicPr>
          <a:picLocks noChangeAspect="1" noChangeArrowheads="1"/>
        </xdr:cNvPicPr>
      </xdr:nvPicPr>
      <xdr:blipFill>
        <a:blip xmlns:r="http://schemas.openxmlformats.org/officeDocument/2006/relationships" r:embed="rId6"/>
        <a:srcRect/>
        <a:stretch>
          <a:fillRect/>
        </a:stretch>
      </xdr:blipFill>
      <xdr:spPr bwMode="auto">
        <a:xfrm>
          <a:off x="0" y="42481500"/>
          <a:ext cx="9525" cy="9525"/>
        </a:xfrm>
        <a:prstGeom prst="rect">
          <a:avLst/>
        </a:prstGeom>
        <a:noFill/>
      </xdr:spPr>
    </xdr:pic>
    <xdr:clientData/>
  </xdr:twoCellAnchor>
  <xdr:twoCellAnchor editAs="oneCell">
    <xdr:from>
      <xdr:col>9</xdr:col>
      <xdr:colOff>0</xdr:colOff>
      <xdr:row>35</xdr:row>
      <xdr:rowOff>0</xdr:rowOff>
    </xdr:from>
    <xdr:to>
      <xdr:col>9</xdr:col>
      <xdr:colOff>9525</xdr:colOff>
      <xdr:row>35</xdr:row>
      <xdr:rowOff>9525</xdr:rowOff>
    </xdr:to>
    <xdr:pic>
      <xdr:nvPicPr>
        <xdr:cNvPr id="7" name="ft_copy_posting_link_id2" descr="http://www86.hattrick.org/Img/Icons/transparent.gif"/>
        <xdr:cNvPicPr>
          <a:picLocks noChangeAspect="1" noChangeArrowheads="1"/>
        </xdr:cNvPicPr>
      </xdr:nvPicPr>
      <xdr:blipFill>
        <a:blip xmlns:r="http://schemas.openxmlformats.org/officeDocument/2006/relationships" r:embed="rId6"/>
        <a:srcRect/>
        <a:stretch>
          <a:fillRect/>
        </a:stretch>
      </xdr:blipFill>
      <xdr:spPr bwMode="auto">
        <a:xfrm>
          <a:off x="0" y="42672000"/>
          <a:ext cx="9525" cy="9525"/>
        </a:xfrm>
        <a:prstGeom prst="rect">
          <a:avLst/>
        </a:prstGeom>
        <a:noFill/>
      </xdr:spPr>
    </xdr:pic>
    <xdr:clientData/>
  </xdr:twoCellAnchor>
  <xdr:twoCellAnchor editAs="oneCell">
    <xdr:from>
      <xdr:col>9</xdr:col>
      <xdr:colOff>0</xdr:colOff>
      <xdr:row>38</xdr:row>
      <xdr:rowOff>0</xdr:rowOff>
    </xdr:from>
    <xdr:to>
      <xdr:col>9</xdr:col>
      <xdr:colOff>95250</xdr:colOff>
      <xdr:row>38</xdr:row>
      <xdr:rowOff>76200</xdr:rowOff>
    </xdr:to>
    <xdr:pic>
      <xdr:nvPicPr>
        <xdr:cNvPr id="8" name="Picture 29" descr="Hattrick Supporter">
          <a:hlinkClick xmlns:r="http://schemas.openxmlformats.org/officeDocument/2006/relationships" r:id="rId3" tooltip="Hattrick Supporter"/>
        </xdr:cNvPr>
        <xdr:cNvPicPr>
          <a:picLocks noChangeAspect="1" noChangeArrowheads="1"/>
        </xdr:cNvPicPr>
      </xdr:nvPicPr>
      <xdr:blipFill>
        <a:blip xmlns:r="http://schemas.openxmlformats.org/officeDocument/2006/relationships" r:embed="rId4" cstate="print"/>
        <a:srcRect/>
        <a:stretch>
          <a:fillRect/>
        </a:stretch>
      </xdr:blipFill>
      <xdr:spPr bwMode="auto">
        <a:xfrm>
          <a:off x="0" y="43243500"/>
          <a:ext cx="95250" cy="76200"/>
        </a:xfrm>
        <a:prstGeom prst="rect">
          <a:avLst/>
        </a:prstGeom>
        <a:noFill/>
      </xdr:spPr>
    </xdr:pic>
    <xdr:clientData/>
  </xdr:twoCellAnchor>
  <xdr:twoCellAnchor editAs="oneCell">
    <xdr:from>
      <xdr:col>9</xdr:col>
      <xdr:colOff>0</xdr:colOff>
      <xdr:row>40</xdr:row>
      <xdr:rowOff>0</xdr:rowOff>
    </xdr:from>
    <xdr:to>
      <xdr:col>9</xdr:col>
      <xdr:colOff>9525</xdr:colOff>
      <xdr:row>40</xdr:row>
      <xdr:rowOff>9525</xdr:rowOff>
    </xdr:to>
    <xdr:pic>
      <xdr:nvPicPr>
        <xdr:cNvPr id="9" name="Picture 31" descr="Argentina">
          <a:hlinkClick xmlns:r="http://schemas.openxmlformats.org/officeDocument/2006/relationships" r:id="rId8"/>
        </xdr:cNvPr>
        <xdr:cNvPicPr>
          <a:picLocks noChangeAspect="1" noChangeArrowheads="1"/>
        </xdr:cNvPicPr>
      </xdr:nvPicPr>
      <xdr:blipFill>
        <a:blip xmlns:r="http://schemas.openxmlformats.org/officeDocument/2006/relationships" r:embed="rId6"/>
        <a:srcRect/>
        <a:stretch>
          <a:fillRect/>
        </a:stretch>
      </xdr:blipFill>
      <xdr:spPr bwMode="auto">
        <a:xfrm>
          <a:off x="0" y="43624500"/>
          <a:ext cx="9525" cy="9525"/>
        </a:xfrm>
        <a:prstGeom prst="rect">
          <a:avLst/>
        </a:prstGeom>
        <a:noFill/>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0</xdr:colOff>
      <xdr:row>14</xdr:row>
      <xdr:rowOff>19050</xdr:rowOff>
    </xdr:to>
    <xdr:pic>
      <xdr:nvPicPr>
        <xdr:cNvPr id="2" name="Imagen 1" descr="https://sites.google.com/site/andreachattrickanalysis/_/rsrc/1300003157809/home/hattrick---a-study-on-cards/Immagine02.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0525"/>
          <a:ext cx="45720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16</xdr:col>
      <xdr:colOff>9525</xdr:colOff>
      <xdr:row>14</xdr:row>
      <xdr:rowOff>0</xdr:rowOff>
    </xdr:to>
    <xdr:pic>
      <xdr:nvPicPr>
        <xdr:cNvPr id="3" name="Imagen 2" descr="https://sites.google.com/site/andreachattrickanalysis/_/rsrc/1300003181864/home/hattrick---a-study-on-cards/Immagine03.PNG">
          <a:hlinkClick xmlns:r="http://schemas.openxmlformats.org/officeDocument/2006/relationships" r:id="rId3"/>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0" y="390525"/>
          <a:ext cx="45815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3</xdr:col>
      <xdr:colOff>161925</xdr:colOff>
      <xdr:row>41</xdr:row>
      <xdr:rowOff>4762</xdr:rowOff>
    </xdr:from>
    <xdr:to>
      <xdr:col>9</xdr:col>
      <xdr:colOff>161925</xdr:colOff>
      <xdr:row>55</xdr:row>
      <xdr:rowOff>80962</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447675</xdr:colOff>
      <xdr:row>77</xdr:row>
      <xdr:rowOff>142874</xdr:rowOff>
    </xdr:to>
    <xdr:pic>
      <xdr:nvPicPr>
        <xdr:cNvPr id="48129"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6543675" cy="17040224"/>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258534</xdr:colOff>
      <xdr:row>0</xdr:row>
      <xdr:rowOff>68036</xdr:rowOff>
    </xdr:from>
    <xdr:to>
      <xdr:col>13</xdr:col>
      <xdr:colOff>642937</xdr:colOff>
      <xdr:row>42</xdr:row>
      <xdr:rowOff>95250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678657</xdr:colOff>
      <xdr:row>0</xdr:row>
      <xdr:rowOff>71437</xdr:rowOff>
    </xdr:from>
    <xdr:to>
      <xdr:col>20</xdr:col>
      <xdr:colOff>654845</xdr:colOff>
      <xdr:row>42</xdr:row>
      <xdr:rowOff>107156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or" refreshedDate="42191.506716319447" createdVersion="5" refreshedVersion="5" minRefreshableVersion="3" recordCount="42">
  <cacheSource type="worksheet">
    <worksheetSource ref="A1:F1048576" sheet="Entreno_Barbecho"/>
  </cacheSource>
  <cacheFields count="6">
    <cacheField name="Sem" numFmtId="0">
      <sharedItems containsString="0" containsBlank="1" containsNumber="1" containsInteger="1" minValue="1" maxValue="1"/>
    </cacheField>
    <cacheField name="Edad" numFmtId="0">
      <sharedItems containsString="0" containsBlank="1" containsNumber="1" containsInteger="1" minValue="19" maxValue="20" count="3">
        <n v="19"/>
        <n v="20"/>
        <m/>
      </sharedItems>
    </cacheField>
    <cacheField name="POR" numFmtId="0">
      <sharedItems containsBlank="1" count="5">
        <s v="8-8,99"/>
        <s v="9-9,99"/>
        <s v="10-10,99"/>
        <s v="7-7,99"/>
        <m/>
      </sharedItems>
    </cacheField>
    <cacheField name="DEF" numFmtId="0">
      <sharedItems containsBlank="1" count="10">
        <s v="1-1,99"/>
        <s v="2-2,99"/>
        <s v="3-3.99"/>
        <s v="4-4,99"/>
        <s v="6-8,99"/>
        <s v="7-9,99"/>
        <s v="5-5,99"/>
        <s v="9-11,99"/>
        <m/>
        <s v="3-3,99" u="1"/>
      </sharedItems>
    </cacheField>
    <cacheField name="BP" numFmtId="0">
      <sharedItems containsBlank="1" count="14">
        <s v="&lt;3,99"/>
        <s v="4-8,99"/>
        <s v="2-6,99"/>
        <s v="7-10,99"/>
        <s v="11-15,99"/>
        <s v="6-10,99"/>
        <s v="9-13,99"/>
        <s v="10-14,99"/>
        <s v="12-16,99"/>
        <s v="15-15,99"/>
        <s v="8-12,99"/>
        <s v="7-11,99"/>
        <s v="3-7,99"/>
        <m/>
      </sharedItems>
    </cacheField>
    <cacheField name="Precio(m)" numFmtId="0">
      <sharedItems containsString="0" containsBlank="1" containsNumber="1" containsInteger="1" minValue="105" maxValue="20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2">
  <r>
    <n v="1"/>
    <x v="0"/>
    <x v="0"/>
    <x v="0"/>
    <x v="0"/>
    <n v="350"/>
  </r>
  <r>
    <n v="1"/>
    <x v="0"/>
    <x v="0"/>
    <x v="1"/>
    <x v="1"/>
    <n v="455"/>
  </r>
  <r>
    <n v="1"/>
    <x v="0"/>
    <x v="0"/>
    <x v="2"/>
    <x v="2"/>
    <n v="375"/>
  </r>
  <r>
    <n v="1"/>
    <x v="0"/>
    <x v="0"/>
    <x v="3"/>
    <x v="0"/>
    <n v="420"/>
  </r>
  <r>
    <n v="1"/>
    <x v="0"/>
    <x v="0"/>
    <x v="4"/>
    <x v="0"/>
    <n v="600"/>
  </r>
  <r>
    <n v="1"/>
    <x v="0"/>
    <x v="0"/>
    <x v="5"/>
    <x v="0"/>
    <n v="900"/>
  </r>
  <r>
    <n v="1"/>
    <x v="0"/>
    <x v="1"/>
    <x v="0"/>
    <x v="3"/>
    <n v="760"/>
  </r>
  <r>
    <n v="1"/>
    <x v="0"/>
    <x v="1"/>
    <x v="2"/>
    <x v="0"/>
    <n v="610"/>
  </r>
  <r>
    <n v="1"/>
    <x v="0"/>
    <x v="1"/>
    <x v="6"/>
    <x v="4"/>
    <n v="1150"/>
  </r>
  <r>
    <n v="1"/>
    <x v="0"/>
    <x v="2"/>
    <x v="0"/>
    <x v="0"/>
    <n v="935"/>
  </r>
  <r>
    <n v="1"/>
    <x v="0"/>
    <x v="2"/>
    <x v="0"/>
    <x v="5"/>
    <n v="960"/>
  </r>
  <r>
    <n v="1"/>
    <x v="0"/>
    <x v="2"/>
    <x v="2"/>
    <x v="0"/>
    <n v="930"/>
  </r>
  <r>
    <n v="1"/>
    <x v="0"/>
    <x v="2"/>
    <x v="3"/>
    <x v="6"/>
    <n v="1395"/>
  </r>
  <r>
    <n v="1"/>
    <x v="0"/>
    <x v="2"/>
    <x v="6"/>
    <x v="0"/>
    <n v="1200"/>
  </r>
  <r>
    <n v="1"/>
    <x v="1"/>
    <x v="3"/>
    <x v="0"/>
    <x v="0"/>
    <n v="105"/>
  </r>
  <r>
    <n v="1"/>
    <x v="1"/>
    <x v="3"/>
    <x v="2"/>
    <x v="0"/>
    <n v="160"/>
  </r>
  <r>
    <n v="1"/>
    <x v="1"/>
    <x v="0"/>
    <x v="0"/>
    <x v="2"/>
    <n v="315"/>
  </r>
  <r>
    <n v="1"/>
    <x v="1"/>
    <x v="0"/>
    <x v="1"/>
    <x v="7"/>
    <n v="500"/>
  </r>
  <r>
    <n v="1"/>
    <x v="1"/>
    <x v="0"/>
    <x v="1"/>
    <x v="0"/>
    <n v="400"/>
  </r>
  <r>
    <n v="1"/>
    <x v="1"/>
    <x v="0"/>
    <x v="2"/>
    <x v="0"/>
    <n v="400"/>
  </r>
  <r>
    <n v="1"/>
    <x v="1"/>
    <x v="0"/>
    <x v="5"/>
    <x v="0"/>
    <n v="830"/>
  </r>
  <r>
    <n v="1"/>
    <x v="1"/>
    <x v="1"/>
    <x v="1"/>
    <x v="1"/>
    <n v="710"/>
  </r>
  <r>
    <n v="1"/>
    <x v="1"/>
    <x v="1"/>
    <x v="2"/>
    <x v="5"/>
    <n v="800"/>
  </r>
  <r>
    <n v="1"/>
    <x v="1"/>
    <x v="1"/>
    <x v="7"/>
    <x v="8"/>
    <n v="2050"/>
  </r>
  <r>
    <n v="1"/>
    <x v="1"/>
    <x v="1"/>
    <x v="2"/>
    <x v="0"/>
    <n v="530"/>
  </r>
  <r>
    <n v="1"/>
    <x v="1"/>
    <x v="2"/>
    <x v="3"/>
    <x v="9"/>
    <n v="1600"/>
  </r>
  <r>
    <n v="1"/>
    <x v="1"/>
    <x v="2"/>
    <x v="4"/>
    <x v="10"/>
    <n v="1800"/>
  </r>
  <r>
    <n v="1"/>
    <x v="1"/>
    <x v="3"/>
    <x v="3"/>
    <x v="11"/>
    <n v="300"/>
  </r>
  <r>
    <n v="1"/>
    <x v="0"/>
    <x v="0"/>
    <x v="2"/>
    <x v="11"/>
    <n v="500"/>
  </r>
  <r>
    <n v="1"/>
    <x v="0"/>
    <x v="0"/>
    <x v="2"/>
    <x v="6"/>
    <n v="515"/>
  </r>
  <r>
    <n v="1"/>
    <x v="1"/>
    <x v="0"/>
    <x v="2"/>
    <x v="4"/>
    <n v="520"/>
  </r>
  <r>
    <n v="1"/>
    <x v="1"/>
    <x v="0"/>
    <x v="3"/>
    <x v="6"/>
    <n v="600"/>
  </r>
  <r>
    <n v="1"/>
    <x v="0"/>
    <x v="0"/>
    <x v="3"/>
    <x v="10"/>
    <n v="650"/>
  </r>
  <r>
    <n v="1"/>
    <x v="1"/>
    <x v="0"/>
    <x v="3"/>
    <x v="11"/>
    <n v="600"/>
  </r>
  <r>
    <n v="1"/>
    <x v="0"/>
    <x v="0"/>
    <x v="6"/>
    <x v="12"/>
    <n v="560"/>
  </r>
  <r>
    <n v="1"/>
    <x v="1"/>
    <x v="0"/>
    <x v="6"/>
    <x v="0"/>
    <n v="540"/>
  </r>
  <r>
    <n v="1"/>
    <x v="1"/>
    <x v="1"/>
    <x v="0"/>
    <x v="0"/>
    <n v="617"/>
  </r>
  <r>
    <n v="1"/>
    <x v="0"/>
    <x v="1"/>
    <x v="2"/>
    <x v="6"/>
    <n v="800"/>
  </r>
  <r>
    <n v="1"/>
    <x v="0"/>
    <x v="1"/>
    <x v="3"/>
    <x v="8"/>
    <n v="930"/>
  </r>
  <r>
    <n v="1"/>
    <x v="1"/>
    <x v="1"/>
    <x v="3"/>
    <x v="0"/>
    <n v="700"/>
  </r>
  <r>
    <n v="1"/>
    <x v="1"/>
    <x v="1"/>
    <x v="3"/>
    <x v="10"/>
    <n v="950"/>
  </r>
  <r>
    <m/>
    <x v="2"/>
    <x v="4"/>
    <x v="8"/>
    <x v="1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5" minRefreshableVersion="3" useAutoFormatting="1" rowGrandTotals="0" colGrandTotals="0" itemPrintTitles="1" createdVersion="5" indent="0" outline="1" outlineData="1" multipleFieldFilters="0">
  <location ref="I1:M41" firstHeaderRow="1" firstDataRow="2" firstDataCol="3"/>
  <pivotFields count="6">
    <pivotField showAll="0"/>
    <pivotField axis="axisCol" showAll="0">
      <items count="4">
        <item x="0"/>
        <item x="1"/>
        <item h="1" x="2"/>
        <item t="default"/>
      </items>
    </pivotField>
    <pivotField axis="axisRow" outline="0" showAll="0" defaultSubtotal="0">
      <items count="5">
        <item x="3"/>
        <item x="0"/>
        <item x="1"/>
        <item x="4"/>
        <item x="2"/>
      </items>
    </pivotField>
    <pivotField axis="axisRow" outline="0" showAll="0" defaultSubtotal="0">
      <items count="10">
        <item x="0"/>
        <item x="1"/>
        <item x="2"/>
        <item x="3"/>
        <item x="6"/>
        <item x="4"/>
        <item x="5"/>
        <item x="7"/>
        <item x="8"/>
        <item m="1" x="9"/>
      </items>
    </pivotField>
    <pivotField axis="axisRow" showAll="0">
      <items count="15">
        <item x="0"/>
        <item x="7"/>
        <item x="9"/>
        <item x="2"/>
        <item x="1"/>
        <item x="5"/>
        <item x="3"/>
        <item x="11"/>
        <item x="10"/>
        <item x="8"/>
        <item x="6"/>
        <item x="4"/>
        <item x="13"/>
        <item x="12"/>
        <item t="default"/>
      </items>
    </pivotField>
    <pivotField dataField="1" showAll="0"/>
  </pivotFields>
  <rowFields count="3">
    <field x="2"/>
    <field x="3"/>
    <field x="4"/>
  </rowFields>
  <rowItems count="39">
    <i>
      <x/>
      <x/>
      <x/>
    </i>
    <i r="1">
      <x v="2"/>
      <x/>
    </i>
    <i r="1">
      <x v="3"/>
      <x v="7"/>
    </i>
    <i>
      <x v="1"/>
      <x/>
      <x/>
    </i>
    <i r="2">
      <x v="3"/>
    </i>
    <i r="1">
      <x v="1"/>
      <x/>
    </i>
    <i r="2">
      <x v="1"/>
    </i>
    <i r="2">
      <x v="4"/>
    </i>
    <i r="1">
      <x v="2"/>
      <x/>
    </i>
    <i r="2">
      <x v="3"/>
    </i>
    <i r="2">
      <x v="7"/>
    </i>
    <i r="2">
      <x v="10"/>
    </i>
    <i r="2">
      <x v="11"/>
    </i>
    <i r="1">
      <x v="3"/>
      <x/>
    </i>
    <i r="2">
      <x v="7"/>
    </i>
    <i r="2">
      <x v="8"/>
    </i>
    <i r="2">
      <x v="10"/>
    </i>
    <i r="1">
      <x v="4"/>
      <x/>
    </i>
    <i r="2">
      <x v="13"/>
    </i>
    <i r="1">
      <x v="5"/>
      <x/>
    </i>
    <i r="1">
      <x v="6"/>
      <x/>
    </i>
    <i>
      <x v="2"/>
      <x/>
      <x/>
    </i>
    <i r="2">
      <x v="6"/>
    </i>
    <i r="1">
      <x v="1"/>
      <x v="4"/>
    </i>
    <i r="1">
      <x v="2"/>
      <x/>
    </i>
    <i r="2">
      <x v="5"/>
    </i>
    <i r="2">
      <x v="10"/>
    </i>
    <i r="1">
      <x v="3"/>
      <x/>
    </i>
    <i r="2">
      <x v="8"/>
    </i>
    <i r="2">
      <x v="9"/>
    </i>
    <i r="1">
      <x v="4"/>
      <x v="11"/>
    </i>
    <i r="1">
      <x v="7"/>
      <x v="9"/>
    </i>
    <i>
      <x v="4"/>
      <x/>
      <x/>
    </i>
    <i r="2">
      <x v="5"/>
    </i>
    <i r="1">
      <x v="2"/>
      <x/>
    </i>
    <i r="1">
      <x v="3"/>
      <x v="2"/>
    </i>
    <i r="2">
      <x v="10"/>
    </i>
    <i r="1">
      <x v="4"/>
      <x/>
    </i>
    <i r="1">
      <x v="5"/>
      <x v="8"/>
    </i>
  </rowItems>
  <colFields count="1">
    <field x="1"/>
  </colFields>
  <colItems count="2">
    <i>
      <x/>
    </i>
    <i>
      <x v="1"/>
    </i>
  </colItems>
  <dataFields count="1">
    <dataField name="Promedio de Precio(m)" fld="5"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13.bin"/><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6.xml"/><Relationship Id="rId1" Type="http://schemas.openxmlformats.org/officeDocument/2006/relationships/printerSettings" Target="../printerSettings/printerSettings15.bin"/><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xml"/><Relationship Id="rId1" Type="http://schemas.openxmlformats.org/officeDocument/2006/relationships/printerSettings" Target="../printerSettings/printerSettings17.bin"/><Relationship Id="rId4"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8.xml"/><Relationship Id="rId1" Type="http://schemas.openxmlformats.org/officeDocument/2006/relationships/printerSettings" Target="../printerSettings/printerSettings19.bin"/><Relationship Id="rId4" Type="http://schemas.openxmlformats.org/officeDocument/2006/relationships/comments" Target="../comments1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8" Type="http://schemas.openxmlformats.org/officeDocument/2006/relationships/hyperlink" Target="http://www88.hattrick.org/Club/Manager/?userId=4991317" TargetMode="External"/><Relationship Id="rId3" Type="http://schemas.openxmlformats.org/officeDocument/2006/relationships/hyperlink" Target="http://www88.hattrick.org/Club/Matches/Archive.aspx?season=39&amp;TeamID=124219&amp;actiontype=viewcup" TargetMode="External"/><Relationship Id="rId7" Type="http://schemas.openxmlformats.org/officeDocument/2006/relationships/hyperlink" Target="http://www88.hattrick.org/Club/Matches/Archive.aspx?season=35&amp;TeamID=124219&amp;actiontype=viewcup" TargetMode="External"/><Relationship Id="rId2" Type="http://schemas.openxmlformats.org/officeDocument/2006/relationships/hyperlink" Target="http://www88.hattrick.org/Club/Matches/Archive.aspx?season=40&amp;TeamID=124219&amp;actiontype=viewcup" TargetMode="External"/><Relationship Id="rId1" Type="http://schemas.openxmlformats.org/officeDocument/2006/relationships/hyperlink" Target="http://www88.hattrick.org/Club/Manager/?userId=10626188" TargetMode="External"/><Relationship Id="rId6" Type="http://schemas.openxmlformats.org/officeDocument/2006/relationships/hyperlink" Target="http://www88.hattrick.org/Club/Matches/Archive.aspx?season=36&amp;TeamID=124219&amp;actiontype=viewcup" TargetMode="External"/><Relationship Id="rId5" Type="http://schemas.openxmlformats.org/officeDocument/2006/relationships/hyperlink" Target="http://www88.hattrick.org/Club/Matches/Archive.aspx?season=37&amp;TeamID=124219&amp;actiontype=viewcup" TargetMode="External"/><Relationship Id="rId4" Type="http://schemas.openxmlformats.org/officeDocument/2006/relationships/hyperlink" Target="http://www88.hattrick.org/Club/Matches/Archive.aspx?season=38&amp;TeamID=124219&amp;actiontype=viewcup" TargetMode="External"/><Relationship Id="rId9"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pivotTable" Target="../pivotTables/pivotTable1.xm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1.xml.rels><?xml version="1.0" encoding="UTF-8" standalone="yes"?>
<Relationships xmlns="http://schemas.openxmlformats.org/package/2006/relationships"><Relationship Id="rId3" Type="http://schemas.openxmlformats.org/officeDocument/2006/relationships/hyperlink" Target="http://www74.hattrick.org/Help/Rules/PlayerAttributes.aspx" TargetMode="External"/><Relationship Id="rId2" Type="http://schemas.openxmlformats.org/officeDocument/2006/relationships/hyperlink" Target="http://docs.google.com/Doc?docid=0AWl8cQ9-H8RZZDg5Zjg1cV8xMjRka3F2dGQ2&amp;hl=es" TargetMode="External"/><Relationship Id="rId1" Type="http://schemas.openxmlformats.org/officeDocument/2006/relationships/hyperlink" Target="javascript:ShowSignature('202240386');" TargetMode="External"/><Relationship Id="rId5" Type="http://schemas.openxmlformats.org/officeDocument/2006/relationships/drawing" Target="../drawings/drawing10.xml"/><Relationship Id="rId4" Type="http://schemas.openxmlformats.org/officeDocument/2006/relationships/printerSettings" Target="../printerSettings/printerSettings47.bin"/></Relationships>
</file>

<file path=xl/worksheets/_rels/sheet5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48.bin"/><Relationship Id="rId1" Type="http://schemas.openxmlformats.org/officeDocument/2006/relationships/hyperlink" Target="http://www78.hattrick.org/Club/?TeamID=47586"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0.bin"/></Relationships>
</file>

<file path=xl/worksheets/_rels/sheet55.xml.rels><?xml version="1.0" encoding="UTF-8" standalone="yes"?>
<Relationships xmlns="http://schemas.openxmlformats.org/package/2006/relationships"><Relationship Id="rId3" Type="http://schemas.openxmlformats.org/officeDocument/2006/relationships/hyperlink" Target="http://www77.hattrick.org/Forum/Read.aspx?t=11886114&amp;n=200&amp;v=0&amp;mr=0" TargetMode="External"/><Relationship Id="rId2" Type="http://schemas.openxmlformats.org/officeDocument/2006/relationships/hyperlink" Target="http://www77.hattrick.org/Forum/Read.aspx?t=11886114&amp;n=176&amp;v=0&amp;mr=0" TargetMode="External"/><Relationship Id="rId1" Type="http://schemas.openxmlformats.org/officeDocument/2006/relationships/hyperlink" Target="http://www77.hattrick.org/Forum/Read.aspx?t=11886114&amp;n=168&amp;v=0&amp;mr=0" TargetMode="External"/><Relationship Id="rId6" Type="http://schemas.openxmlformats.org/officeDocument/2006/relationships/printerSettings" Target="../printerSettings/printerSettings51.bin"/><Relationship Id="rId5" Type="http://schemas.openxmlformats.org/officeDocument/2006/relationships/hyperlink" Target="http://www77.hattrick.org/Forum/Read.aspx?t=11886114&amp;n=198&amp;v=0&amp;mr=0" TargetMode="External"/><Relationship Id="rId4" Type="http://schemas.openxmlformats.org/officeDocument/2006/relationships/hyperlink" Target="http://www77.hattrick.org/Forum/Read.aspx?t=11886114&amp;n=145&amp;v=0&amp;mr=0"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78.hattrick.org/Forum/Read.aspx?t=14286771&amp;n=22&amp;v=0&amp;mr=0" TargetMode="External"/><Relationship Id="rId3" Type="http://schemas.openxmlformats.org/officeDocument/2006/relationships/hyperlink" Target="http://www78.hattrick.org/Forum/Read.aspx?t=14286771&amp;n=20&amp;v=0&amp;mr=0" TargetMode="External"/><Relationship Id="rId7" Type="http://schemas.openxmlformats.org/officeDocument/2006/relationships/hyperlink" Target="http://www78.hattrick.org/Forum/Read.aspx?t=14286771&amp;n=21&amp;v=0&amp;mr=0" TargetMode="External"/><Relationship Id="rId2" Type="http://schemas.openxmlformats.org/officeDocument/2006/relationships/hyperlink" Target="http://www78.hattrick.org/Forum/Read.aspx?t=14286771&amp;n=17&amp;v=0&amp;mr=0" TargetMode="External"/><Relationship Id="rId1" Type="http://schemas.openxmlformats.org/officeDocument/2006/relationships/hyperlink" Target="http://www78.hattrick.org/Forum/Read.aspx?t=14286771&amp;n=15&amp;v=0&amp;mr=0" TargetMode="External"/><Relationship Id="rId6" Type="http://schemas.openxmlformats.org/officeDocument/2006/relationships/hyperlink" Target="http://www78.hattrick.org/Forum/Read.aspx?t=14286771&amp;n=19&amp;v=0&amp;mr=0" TargetMode="External"/><Relationship Id="rId5" Type="http://schemas.openxmlformats.org/officeDocument/2006/relationships/hyperlink" Target="http://www78.hattrick.org/Forum/Read.aspx?t=14286771&amp;n=16&amp;v=0&amp;mr=0" TargetMode="External"/><Relationship Id="rId4" Type="http://schemas.openxmlformats.org/officeDocument/2006/relationships/hyperlink" Target="http://www78.hattrick.org/Forum/Read.aspx?t=14286771&amp;n=15&amp;v=0&amp;mr=0" TargetMode="External"/><Relationship Id="rId9" Type="http://schemas.openxmlformats.org/officeDocument/2006/relationships/hyperlink" Target="http://www78.hattrick.org/Forum/Read.aspx?t=14286771&amp;n=23&amp;v=0&amp;mr=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9.xml.rels><?xml version="1.0" encoding="UTF-8" standalone="yes"?>
<Relationships xmlns="http://schemas.openxmlformats.org/package/2006/relationships"><Relationship Id="rId3" Type="http://schemas.openxmlformats.org/officeDocument/2006/relationships/hyperlink" Target="http://www75.hattrick.org/Forum/Read.aspx?t=15172393&amp;n=17&amp;v=0&amp;mr=0" TargetMode="External"/><Relationship Id="rId2" Type="http://schemas.openxmlformats.org/officeDocument/2006/relationships/hyperlink" Target="http://www.hattrickinfo.com/en/coach/106/" TargetMode="External"/><Relationship Id="rId1" Type="http://schemas.openxmlformats.org/officeDocument/2006/relationships/hyperlink" Target="http://www75.hattrick.org/Forum/Read.aspx?t=15172393&amp;n=504&amp;v=0&amp;mr=0" TargetMode="External"/><Relationship Id="rId4"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4.bin"/></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5.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pageSetUpPr fitToPage="1"/>
  </sheetPr>
  <dimension ref="A1:V70"/>
  <sheetViews>
    <sheetView zoomScale="80" zoomScaleNormal="80" workbookViewId="0">
      <pane xSplit="5" ySplit="2" topLeftCell="F39" activePane="bottomRight" state="frozen"/>
      <selection pane="topRight" activeCell="F1" sqref="F1"/>
      <selection pane="bottomLeft" activeCell="A3" sqref="A3"/>
      <selection pane="bottomRight" activeCell="N61" sqref="N61:O61"/>
    </sheetView>
  </sheetViews>
  <sheetFormatPr baseColWidth="10" defaultColWidth="11.42578125" defaultRowHeight="15" x14ac:dyDescent="0.25"/>
  <cols>
    <col min="1" max="1" width="27.140625" bestFit="1" customWidth="1"/>
    <col min="2" max="2" width="2" customWidth="1"/>
    <col min="3" max="3" width="25" bestFit="1" customWidth="1"/>
    <col min="4" max="4" width="4.42578125" customWidth="1"/>
    <col min="5" max="5" width="59.85546875" bestFit="1" customWidth="1"/>
    <col min="6" max="6" width="7.7109375" bestFit="1" customWidth="1"/>
    <col min="7" max="7" width="7.140625" bestFit="1" customWidth="1"/>
    <col min="8" max="8" width="7.5703125" bestFit="1" customWidth="1"/>
    <col min="9" max="9" width="7.140625" bestFit="1" customWidth="1"/>
    <col min="10" max="11" width="7.42578125" customWidth="1"/>
    <col min="12" max="13" width="7.7109375" bestFit="1" customWidth="1"/>
    <col min="14" max="14" width="7.5703125" bestFit="1" customWidth="1"/>
    <col min="15" max="15" width="7.140625" bestFit="1" customWidth="1"/>
    <col min="18" max="18" width="13.140625" style="510" customWidth="1"/>
    <col min="19" max="22" width="11.42578125" style="510"/>
  </cols>
  <sheetData>
    <row r="1" spans="1:17" ht="18.75" x14ac:dyDescent="0.3">
      <c r="A1" s="66" t="s">
        <v>355</v>
      </c>
      <c r="C1" s="66" t="s">
        <v>407</v>
      </c>
      <c r="F1" s="704" t="s">
        <v>560</v>
      </c>
      <c r="G1" s="704"/>
      <c r="H1" s="704" t="s">
        <v>561</v>
      </c>
      <c r="I1" s="704"/>
      <c r="J1" s="704" t="s">
        <v>330</v>
      </c>
      <c r="K1" s="704"/>
      <c r="L1" s="704" t="s">
        <v>563</v>
      </c>
      <c r="M1" s="704"/>
      <c r="N1" s="704" t="s">
        <v>562</v>
      </c>
      <c r="O1" s="704"/>
    </row>
    <row r="2" spans="1:17" ht="19.5" thickBot="1" x14ac:dyDescent="0.35">
      <c r="F2" s="68" t="s">
        <v>490</v>
      </c>
      <c r="G2" s="68" t="s">
        <v>491</v>
      </c>
      <c r="H2" s="711"/>
      <c r="I2" s="712"/>
      <c r="J2" s="711"/>
      <c r="K2" s="712"/>
      <c r="L2" s="68" t="s">
        <v>490</v>
      </c>
      <c r="M2" s="68" t="s">
        <v>491</v>
      </c>
      <c r="N2" s="711"/>
      <c r="O2" s="712"/>
    </row>
    <row r="3" spans="1:17" x14ac:dyDescent="0.25">
      <c r="A3" t="s">
        <v>356</v>
      </c>
      <c r="C3" t="s">
        <v>408</v>
      </c>
      <c r="E3" s="69" t="s">
        <v>492</v>
      </c>
      <c r="F3" s="710">
        <v>0.64709000000000005</v>
      </c>
      <c r="G3" s="710"/>
      <c r="H3" s="710">
        <v>0.97192999999999996</v>
      </c>
      <c r="I3" s="710"/>
      <c r="J3" s="73"/>
      <c r="K3" s="73"/>
      <c r="L3" s="73"/>
      <c r="M3" s="73"/>
      <c r="N3" s="73"/>
      <c r="O3" s="80"/>
      <c r="P3" s="61">
        <f>F3+H3+H4+F4</f>
        <v>2.2834299999999996</v>
      </c>
      <c r="Q3" s="61"/>
    </row>
    <row r="4" spans="1:17" ht="15.75" thickBot="1" x14ac:dyDescent="0.3">
      <c r="A4" t="s">
        <v>357</v>
      </c>
      <c r="C4" t="s">
        <v>409</v>
      </c>
      <c r="E4" s="72" t="s">
        <v>493</v>
      </c>
      <c r="F4" s="706">
        <v>0.26545000000000002</v>
      </c>
      <c r="G4" s="706"/>
      <c r="H4" s="706">
        <v>0.39895999999999998</v>
      </c>
      <c r="I4" s="706"/>
      <c r="J4" s="76"/>
      <c r="K4" s="76"/>
      <c r="L4" s="76"/>
      <c r="M4" s="76"/>
      <c r="N4" s="76"/>
      <c r="O4" s="81"/>
      <c r="P4" s="61"/>
      <c r="Q4" s="61"/>
    </row>
    <row r="5" spans="1:17" x14ac:dyDescent="0.25">
      <c r="A5" t="s">
        <v>358</v>
      </c>
      <c r="C5" t="s">
        <v>358</v>
      </c>
      <c r="E5" s="69" t="s">
        <v>494</v>
      </c>
      <c r="F5" s="73">
        <v>0.50017999999999996</v>
      </c>
      <c r="G5" s="73">
        <v>0.25008999999999998</v>
      </c>
      <c r="H5" s="710">
        <v>1</v>
      </c>
      <c r="I5" s="710"/>
      <c r="J5" s="73"/>
      <c r="K5" s="73"/>
      <c r="L5" s="73"/>
      <c r="M5" s="73"/>
      <c r="N5" s="73"/>
      <c r="O5" s="80"/>
      <c r="P5" s="61">
        <f>F5+G5+H5+J6</f>
        <v>2.02515</v>
      </c>
      <c r="Q5" s="61"/>
    </row>
    <row r="6" spans="1:17" ht="15.75" thickBot="1" x14ac:dyDescent="0.3">
      <c r="E6" s="72" t="s">
        <v>518</v>
      </c>
      <c r="F6" s="76"/>
      <c r="G6" s="76"/>
      <c r="H6" s="76"/>
      <c r="I6" s="76"/>
      <c r="J6" s="706">
        <v>0.27488000000000001</v>
      </c>
      <c r="K6" s="706"/>
      <c r="L6" s="76"/>
      <c r="M6" s="76"/>
      <c r="N6" s="76"/>
      <c r="O6" s="81"/>
      <c r="P6" s="61"/>
      <c r="Q6" s="61"/>
    </row>
    <row r="7" spans="1:17" ht="18.75" x14ac:dyDescent="0.3">
      <c r="A7" t="s">
        <v>359</v>
      </c>
      <c r="C7" s="64" t="s">
        <v>449</v>
      </c>
      <c r="E7" s="69" t="s">
        <v>495</v>
      </c>
      <c r="F7" s="73">
        <v>0.35504999999999998</v>
      </c>
      <c r="G7" s="73">
        <v>0.17752000000000001</v>
      </c>
      <c r="H7" s="710">
        <v>0.72296000000000005</v>
      </c>
      <c r="I7" s="710"/>
      <c r="J7" s="73"/>
      <c r="K7" s="73"/>
      <c r="L7" s="73"/>
      <c r="M7" s="73"/>
      <c r="N7" s="73"/>
      <c r="O7" s="80"/>
      <c r="P7" s="61">
        <f>F7+G7+H7+J8</f>
        <v>1.6189</v>
      </c>
    </row>
    <row r="8" spans="1:17" ht="15.75" thickBot="1" x14ac:dyDescent="0.3">
      <c r="A8" t="s">
        <v>360</v>
      </c>
      <c r="E8" s="72" t="s">
        <v>525</v>
      </c>
      <c r="F8" s="76"/>
      <c r="G8" s="76"/>
      <c r="H8" s="76"/>
      <c r="I8" s="76"/>
      <c r="J8" s="706">
        <v>0.36337000000000003</v>
      </c>
      <c r="K8" s="706"/>
      <c r="L8" s="76"/>
      <c r="M8" s="76"/>
      <c r="N8" s="76"/>
      <c r="O8" s="81"/>
      <c r="P8" s="61"/>
    </row>
    <row r="9" spans="1:17" x14ac:dyDescent="0.25">
      <c r="C9" t="s">
        <v>408</v>
      </c>
      <c r="E9" s="69" t="s">
        <v>496</v>
      </c>
      <c r="F9" s="73">
        <v>0.65615999999999997</v>
      </c>
      <c r="G9" s="73"/>
      <c r="H9" s="710">
        <v>0.78437000000000001</v>
      </c>
      <c r="I9" s="710"/>
      <c r="J9" s="73"/>
      <c r="K9" s="73"/>
      <c r="L9" s="73"/>
      <c r="M9" s="73"/>
      <c r="N9" s="73"/>
      <c r="O9" s="80"/>
      <c r="P9" s="61">
        <f>F9+H9+J10+L11</f>
        <v>1.8734299999999999</v>
      </c>
    </row>
    <row r="10" spans="1:17" x14ac:dyDescent="0.25">
      <c r="A10" t="s">
        <v>386</v>
      </c>
      <c r="C10" t="s">
        <v>409</v>
      </c>
      <c r="E10" s="70" t="s">
        <v>522</v>
      </c>
      <c r="F10" s="54"/>
      <c r="G10" s="54"/>
      <c r="H10" s="54"/>
      <c r="I10" s="54"/>
      <c r="J10" s="705">
        <v>0.1464</v>
      </c>
      <c r="K10" s="705"/>
      <c r="L10" s="54"/>
      <c r="M10" s="54"/>
      <c r="N10" s="54"/>
      <c r="O10" s="82"/>
      <c r="P10" s="61"/>
    </row>
    <row r="11" spans="1:17" ht="14.45" customHeight="1" thickBot="1" x14ac:dyDescent="0.3">
      <c r="A11" t="s">
        <v>387</v>
      </c>
      <c r="C11" t="s">
        <v>358</v>
      </c>
      <c r="E11" s="72" t="s">
        <v>527</v>
      </c>
      <c r="F11" s="76"/>
      <c r="G11" s="76"/>
      <c r="H11" s="76"/>
      <c r="I11" s="76"/>
      <c r="J11" s="74"/>
      <c r="K11" s="74"/>
      <c r="L11" s="76">
        <v>0.28649999999999998</v>
      </c>
      <c r="M11" s="76"/>
      <c r="N11" s="76"/>
      <c r="O11" s="81"/>
      <c r="P11" s="61"/>
    </row>
    <row r="12" spans="1:17" x14ac:dyDescent="0.25">
      <c r="E12" s="69" t="s">
        <v>497</v>
      </c>
      <c r="F12" s="710">
        <v>0.42514999999999997</v>
      </c>
      <c r="G12" s="710"/>
      <c r="H12" s="710">
        <v>0.85</v>
      </c>
      <c r="I12" s="710"/>
      <c r="J12" s="73"/>
      <c r="K12" s="73"/>
      <c r="L12" s="73"/>
      <c r="M12" s="73"/>
      <c r="N12" s="73"/>
      <c r="O12" s="80"/>
      <c r="P12" s="61">
        <f>F12+H12+J13</f>
        <v>1.5087999999999999</v>
      </c>
    </row>
    <row r="13" spans="1:17" ht="19.5" thickBot="1" x14ac:dyDescent="0.35">
      <c r="A13" s="66" t="s">
        <v>385</v>
      </c>
      <c r="C13" s="39" t="s">
        <v>63</v>
      </c>
      <c r="E13" s="72" t="s">
        <v>519</v>
      </c>
      <c r="F13" s="76"/>
      <c r="G13" s="76"/>
      <c r="H13" s="76"/>
      <c r="I13" s="76"/>
      <c r="J13" s="706">
        <v>0.23365</v>
      </c>
      <c r="K13" s="706"/>
      <c r="L13" s="76"/>
      <c r="M13" s="76"/>
      <c r="N13" s="76"/>
      <c r="O13" s="81"/>
      <c r="P13" s="61"/>
    </row>
    <row r="14" spans="1:17" x14ac:dyDescent="0.25">
      <c r="C14" s="39" t="s">
        <v>64</v>
      </c>
      <c r="E14" s="69" t="s">
        <v>502</v>
      </c>
      <c r="F14" s="73">
        <v>1</v>
      </c>
      <c r="G14" s="75"/>
      <c r="H14" s="710">
        <v>0.51382000000000005</v>
      </c>
      <c r="I14" s="710"/>
      <c r="J14" s="73"/>
      <c r="K14" s="73"/>
      <c r="L14" s="73"/>
      <c r="M14" s="73"/>
      <c r="N14" s="73"/>
      <c r="O14" s="80"/>
      <c r="P14" s="61">
        <f>F14+H14+J15+L16</f>
        <v>1.88497</v>
      </c>
      <c r="Q14" s="61"/>
    </row>
    <row r="15" spans="1:17" x14ac:dyDescent="0.25">
      <c r="A15" t="s">
        <v>356</v>
      </c>
      <c r="C15" s="39" t="s">
        <v>65</v>
      </c>
      <c r="E15" s="70" t="s">
        <v>523</v>
      </c>
      <c r="F15" s="54"/>
      <c r="G15" s="54"/>
      <c r="H15" s="54"/>
      <c r="I15" s="54"/>
      <c r="J15" s="705">
        <v>4.3869999999999999E-2</v>
      </c>
      <c r="K15" s="705"/>
      <c r="L15" s="54"/>
      <c r="M15" s="54"/>
      <c r="N15" s="54"/>
      <c r="O15" s="82"/>
      <c r="P15" s="61"/>
      <c r="Q15" s="61"/>
    </row>
    <row r="16" spans="1:17" ht="15.75" thickBot="1" x14ac:dyDescent="0.3">
      <c r="A16" t="s">
        <v>357</v>
      </c>
      <c r="C16" s="39" t="s">
        <v>66</v>
      </c>
      <c r="E16" s="72" t="s">
        <v>528</v>
      </c>
      <c r="F16" s="76"/>
      <c r="G16" s="76"/>
      <c r="H16" s="76"/>
      <c r="I16" s="76"/>
      <c r="J16" s="74"/>
      <c r="K16" s="74"/>
      <c r="L16" s="76">
        <v>0.32728000000000002</v>
      </c>
      <c r="M16" s="76"/>
      <c r="N16" s="76"/>
      <c r="O16" s="81"/>
      <c r="P16" s="61"/>
      <c r="Q16" s="61"/>
    </row>
    <row r="17" spans="1:16" x14ac:dyDescent="0.25">
      <c r="A17" t="s">
        <v>358</v>
      </c>
      <c r="C17" s="39" t="s">
        <v>67</v>
      </c>
      <c r="E17" s="69" t="s">
        <v>503</v>
      </c>
      <c r="F17" s="73">
        <v>0.91232999999999997</v>
      </c>
      <c r="G17" s="75"/>
      <c r="H17" s="710">
        <v>0.46146999999999999</v>
      </c>
      <c r="I17" s="710"/>
      <c r="J17" s="73"/>
      <c r="K17" s="73"/>
      <c r="L17" s="73"/>
      <c r="M17" s="73"/>
      <c r="N17" s="73"/>
      <c r="O17" s="80"/>
      <c r="P17" s="61">
        <f>F17+H17+J18+L19</f>
        <v>2.0396200000000002</v>
      </c>
    </row>
    <row r="18" spans="1:16" x14ac:dyDescent="0.25">
      <c r="A18" t="s">
        <v>386</v>
      </c>
      <c r="C18" s="39" t="s">
        <v>68</v>
      </c>
      <c r="E18" s="70" t="s">
        <v>521</v>
      </c>
      <c r="F18" s="54"/>
      <c r="G18" s="54"/>
      <c r="H18" s="54"/>
      <c r="I18" s="54"/>
      <c r="J18" s="705">
        <v>0.15035999999999999</v>
      </c>
      <c r="K18" s="705"/>
      <c r="L18" s="54"/>
      <c r="M18" s="54"/>
      <c r="N18" s="54"/>
      <c r="O18" s="82"/>
      <c r="P18" s="61"/>
    </row>
    <row r="19" spans="1:16" ht="15.75" thickBot="1" x14ac:dyDescent="0.3">
      <c r="A19" t="s">
        <v>387</v>
      </c>
      <c r="C19" s="39" t="s">
        <v>69</v>
      </c>
      <c r="E19" s="72" t="s">
        <v>530</v>
      </c>
      <c r="F19" s="76"/>
      <c r="G19" s="76"/>
      <c r="H19" s="76"/>
      <c r="I19" s="76"/>
      <c r="J19" s="74"/>
      <c r="K19" s="74"/>
      <c r="L19" s="76">
        <v>0.51546000000000003</v>
      </c>
      <c r="M19" s="76"/>
      <c r="N19" s="76"/>
      <c r="O19" s="81"/>
      <c r="P19" s="61"/>
    </row>
    <row r="20" spans="1:16" x14ac:dyDescent="0.25">
      <c r="C20" s="39" t="s">
        <v>70</v>
      </c>
      <c r="E20" s="69" t="s">
        <v>504</v>
      </c>
      <c r="F20" s="73">
        <v>0.69059999999999999</v>
      </c>
      <c r="G20" s="75"/>
      <c r="H20" s="710">
        <v>0.38878000000000001</v>
      </c>
      <c r="I20" s="710"/>
      <c r="J20" s="73"/>
      <c r="K20" s="73"/>
      <c r="L20" s="73"/>
      <c r="M20" s="73"/>
      <c r="N20" s="73"/>
      <c r="O20" s="80"/>
      <c r="P20" s="61">
        <f>F20+H20+J21+L22</f>
        <v>1.9173399999999998</v>
      </c>
    </row>
    <row r="21" spans="1:16" ht="18.75" x14ac:dyDescent="0.3">
      <c r="A21" s="66" t="s">
        <v>330</v>
      </c>
      <c r="C21" s="39" t="s">
        <v>71</v>
      </c>
      <c r="E21" s="70" t="s">
        <v>526</v>
      </c>
      <c r="F21" s="54"/>
      <c r="G21" s="54"/>
      <c r="H21" s="54"/>
      <c r="I21" s="54"/>
      <c r="J21" s="705">
        <v>0.2099</v>
      </c>
      <c r="K21" s="705"/>
      <c r="L21" s="54"/>
      <c r="M21" s="54"/>
      <c r="N21" s="54"/>
      <c r="O21" s="82"/>
      <c r="P21" s="61"/>
    </row>
    <row r="22" spans="1:16" ht="15.75" thickBot="1" x14ac:dyDescent="0.3">
      <c r="C22" s="39" t="s">
        <v>72</v>
      </c>
      <c r="E22" s="72" t="s">
        <v>529</v>
      </c>
      <c r="F22" s="76"/>
      <c r="G22" s="76"/>
      <c r="H22" s="76"/>
      <c r="I22" s="76"/>
      <c r="J22" s="74"/>
      <c r="K22" s="74"/>
      <c r="L22" s="76">
        <v>0.62805999999999995</v>
      </c>
      <c r="M22" s="76"/>
      <c r="N22" s="76"/>
      <c r="O22" s="81"/>
      <c r="P22" s="61"/>
    </row>
    <row r="23" spans="1:16" x14ac:dyDescent="0.25">
      <c r="A23" t="s">
        <v>331</v>
      </c>
      <c r="C23" s="39" t="s">
        <v>73</v>
      </c>
      <c r="E23" s="69" t="s">
        <v>505</v>
      </c>
      <c r="F23" s="73">
        <v>0.68315000000000003</v>
      </c>
      <c r="G23" s="75"/>
      <c r="H23" s="710">
        <v>0.70006000000000002</v>
      </c>
      <c r="I23" s="710"/>
      <c r="J23" s="73"/>
      <c r="K23" s="73"/>
      <c r="L23" s="73"/>
      <c r="M23" s="73"/>
      <c r="N23" s="73"/>
      <c r="O23" s="80"/>
      <c r="P23" s="61">
        <f>F23+H23+J24+L25</f>
        <v>1.85917</v>
      </c>
    </row>
    <row r="24" spans="1:16" x14ac:dyDescent="0.25">
      <c r="A24" t="s">
        <v>332</v>
      </c>
      <c r="C24" s="39" t="s">
        <v>74</v>
      </c>
      <c r="E24" s="70" t="s">
        <v>520</v>
      </c>
      <c r="F24" s="54"/>
      <c r="G24" s="54"/>
      <c r="H24" s="54"/>
      <c r="I24" s="54"/>
      <c r="J24" s="705">
        <v>0.152</v>
      </c>
      <c r="K24" s="705"/>
      <c r="L24" s="54"/>
      <c r="M24" s="54"/>
      <c r="N24" s="54"/>
      <c r="O24" s="82"/>
      <c r="P24" s="61"/>
    </row>
    <row r="25" spans="1:16" ht="15.75" thickBot="1" x14ac:dyDescent="0.3">
      <c r="A25" t="s">
        <v>333</v>
      </c>
      <c r="C25" s="39" t="s">
        <v>75</v>
      </c>
      <c r="E25" s="72" t="s">
        <v>531</v>
      </c>
      <c r="F25" s="76"/>
      <c r="G25" s="76"/>
      <c r="H25" s="76"/>
      <c r="I25" s="76"/>
      <c r="J25" s="74"/>
      <c r="K25" s="74"/>
      <c r="L25" s="76">
        <v>0.32396000000000003</v>
      </c>
      <c r="M25" s="76"/>
      <c r="N25" s="76"/>
      <c r="O25" s="81"/>
      <c r="P25" s="61"/>
    </row>
    <row r="26" spans="1:16" x14ac:dyDescent="0.25">
      <c r="C26" s="39" t="s">
        <v>76</v>
      </c>
      <c r="E26" s="69" t="s">
        <v>498</v>
      </c>
      <c r="F26" s="73">
        <v>0.18545</v>
      </c>
      <c r="G26" s="73">
        <v>9.2719999999999997E-2</v>
      </c>
      <c r="H26" s="710">
        <v>0.42459999999999998</v>
      </c>
      <c r="I26" s="710"/>
      <c r="J26" s="73"/>
      <c r="K26" s="73"/>
      <c r="L26" s="73"/>
      <c r="M26" s="73"/>
      <c r="N26" s="708"/>
      <c r="O26" s="715"/>
      <c r="P26" s="61">
        <f>F26+G26+H26+J27+L28+M28+N28</f>
        <v>2.4103300000000001</v>
      </c>
    </row>
    <row r="27" spans="1:16" x14ac:dyDescent="0.25">
      <c r="A27" t="s">
        <v>334</v>
      </c>
      <c r="C27" s="39" t="s">
        <v>77</v>
      </c>
      <c r="E27" s="70" t="s">
        <v>510</v>
      </c>
      <c r="F27" s="54"/>
      <c r="G27" s="54"/>
      <c r="H27" s="54"/>
      <c r="I27" s="54"/>
      <c r="J27" s="705">
        <v>1</v>
      </c>
      <c r="K27" s="705"/>
      <c r="L27" s="54"/>
      <c r="M27" s="54"/>
      <c r="N27" s="716"/>
      <c r="O27" s="717"/>
      <c r="P27" s="61"/>
    </row>
    <row r="28" spans="1:16" ht="15.75" thickBot="1" x14ac:dyDescent="0.3">
      <c r="A28" t="s">
        <v>335</v>
      </c>
      <c r="C28" s="39" t="s">
        <v>78</v>
      </c>
      <c r="E28" s="72" t="s">
        <v>542</v>
      </c>
      <c r="F28" s="76"/>
      <c r="G28" s="76"/>
      <c r="H28" s="76"/>
      <c r="I28" s="76"/>
      <c r="J28" s="74"/>
      <c r="K28" s="74"/>
      <c r="L28" s="76">
        <v>0.24451999999999999</v>
      </c>
      <c r="M28" s="76">
        <v>0.1226</v>
      </c>
      <c r="N28" s="718">
        <v>0.34044000000000002</v>
      </c>
      <c r="O28" s="719"/>
      <c r="P28" s="61"/>
    </row>
    <row r="29" spans="1:16" x14ac:dyDescent="0.25">
      <c r="C29" s="39" t="s">
        <v>79</v>
      </c>
      <c r="E29" s="69" t="s">
        <v>499</v>
      </c>
      <c r="F29" s="73">
        <v>0.27438000000000001</v>
      </c>
      <c r="G29" s="73">
        <v>0.13719000000000001</v>
      </c>
      <c r="H29" s="710">
        <v>0.62792999999999999</v>
      </c>
      <c r="I29" s="710"/>
      <c r="J29" s="73"/>
      <c r="K29" s="73"/>
      <c r="L29" s="73"/>
      <c r="M29" s="73"/>
      <c r="N29" s="708"/>
      <c r="O29" s="715"/>
      <c r="P29" s="61">
        <f>F29+G29+H29+L30+M30+N30+J33</f>
        <v>2.4474499999999999</v>
      </c>
    </row>
    <row r="30" spans="1:16" ht="15.75" thickBot="1" x14ac:dyDescent="0.3">
      <c r="A30" t="s">
        <v>602</v>
      </c>
      <c r="C30" s="39" t="s">
        <v>80</v>
      </c>
      <c r="E30" s="72" t="s">
        <v>551</v>
      </c>
      <c r="F30" s="76"/>
      <c r="G30" s="76"/>
      <c r="H30" s="74"/>
      <c r="I30" s="74"/>
      <c r="J30" s="76"/>
      <c r="K30" s="76"/>
      <c r="L30" s="76">
        <v>0.14949999999999999</v>
      </c>
      <c r="M30" s="76">
        <v>7.3999999999999996E-2</v>
      </c>
      <c r="N30" s="718">
        <v>0.23748</v>
      </c>
      <c r="O30" s="719"/>
      <c r="P30" s="61"/>
    </row>
    <row r="31" spans="1:16" x14ac:dyDescent="0.25">
      <c r="C31" s="39" t="s">
        <v>81</v>
      </c>
      <c r="E31" s="69" t="s">
        <v>500</v>
      </c>
      <c r="F31" s="73">
        <v>0.11212</v>
      </c>
      <c r="G31" s="73">
        <v>5.6059999999999999E-2</v>
      </c>
      <c r="H31" s="710">
        <v>0.23462</v>
      </c>
      <c r="I31" s="710"/>
      <c r="J31" s="73"/>
      <c r="K31" s="73"/>
      <c r="L31" s="73"/>
      <c r="M31" s="73"/>
      <c r="N31" s="708"/>
      <c r="O31" s="715"/>
      <c r="P31" s="61">
        <f>F31+G31+H31+L32+M32+N32+J33</f>
        <v>2.2090299999999998</v>
      </c>
    </row>
    <row r="32" spans="1:16" ht="15.75" thickBot="1" x14ac:dyDescent="0.3">
      <c r="C32" s="39" t="s">
        <v>82</v>
      </c>
      <c r="E32" s="72" t="s">
        <v>543</v>
      </c>
      <c r="F32" s="76"/>
      <c r="G32" s="76"/>
      <c r="H32" s="74"/>
      <c r="I32" s="74"/>
      <c r="J32" s="76"/>
      <c r="K32" s="76"/>
      <c r="L32" s="76">
        <v>0.23788000000000001</v>
      </c>
      <c r="M32" s="76">
        <v>0.11894</v>
      </c>
      <c r="N32" s="718">
        <v>0.50244</v>
      </c>
      <c r="O32" s="719"/>
      <c r="P32" s="61"/>
    </row>
    <row r="33" spans="1:16" ht="15.75" thickBot="1" x14ac:dyDescent="0.3">
      <c r="C33" s="39" t="s">
        <v>83</v>
      </c>
      <c r="E33" s="77" t="s">
        <v>511</v>
      </c>
      <c r="F33" s="83"/>
      <c r="G33" s="83"/>
      <c r="H33" s="83"/>
      <c r="I33" s="83"/>
      <c r="J33" s="707">
        <v>0.94696999999999998</v>
      </c>
      <c r="K33" s="707"/>
      <c r="L33" s="83"/>
      <c r="M33" s="83"/>
      <c r="N33" s="720"/>
      <c r="O33" s="721"/>
      <c r="P33" s="61"/>
    </row>
    <row r="34" spans="1:16" x14ac:dyDescent="0.25">
      <c r="E34" s="69" t="s">
        <v>501</v>
      </c>
      <c r="F34" s="710">
        <v>0.15762999999999999</v>
      </c>
      <c r="G34" s="710"/>
      <c r="H34" s="710">
        <v>0.36070000000000002</v>
      </c>
      <c r="I34" s="710"/>
      <c r="J34" s="73"/>
      <c r="K34" s="73"/>
      <c r="L34" s="73"/>
      <c r="M34" s="73"/>
      <c r="N34" s="708"/>
      <c r="O34" s="715"/>
      <c r="P34" s="61">
        <f>F34+H34+J35+L36+N36</f>
        <v>1.8655399999999998</v>
      </c>
    </row>
    <row r="35" spans="1:16" x14ac:dyDescent="0.25">
      <c r="E35" s="70" t="s">
        <v>513</v>
      </c>
      <c r="F35" s="54"/>
      <c r="G35" s="54"/>
      <c r="H35" s="54"/>
      <c r="I35" s="54"/>
      <c r="J35" s="705">
        <v>0.85</v>
      </c>
      <c r="K35" s="705"/>
      <c r="L35" s="54"/>
      <c r="M35" s="54"/>
      <c r="N35" s="716"/>
      <c r="O35" s="717"/>
      <c r="P35" s="61"/>
    </row>
    <row r="36" spans="1:16" ht="15.75" thickBot="1" x14ac:dyDescent="0.3">
      <c r="A36" s="2" t="s">
        <v>603</v>
      </c>
      <c r="E36" s="72" t="s">
        <v>546</v>
      </c>
      <c r="F36" s="76"/>
      <c r="G36" s="76"/>
      <c r="H36" s="76"/>
      <c r="I36" s="76"/>
      <c r="J36" s="74"/>
      <c r="K36" s="74"/>
      <c r="L36" s="76">
        <v>0.20784</v>
      </c>
      <c r="M36" s="76"/>
      <c r="N36" s="718">
        <v>0.28937000000000002</v>
      </c>
      <c r="O36" s="719"/>
      <c r="P36" s="61"/>
    </row>
    <row r="37" spans="1:16" x14ac:dyDescent="0.25">
      <c r="A37" t="s">
        <v>604</v>
      </c>
      <c r="E37" s="69" t="s">
        <v>524</v>
      </c>
      <c r="F37" s="710">
        <v>0.20368</v>
      </c>
      <c r="G37" s="710"/>
      <c r="H37" s="710">
        <v>0.33767000000000003</v>
      </c>
      <c r="I37" s="710"/>
      <c r="J37" s="73"/>
      <c r="K37" s="73"/>
      <c r="L37" s="73"/>
      <c r="M37" s="73"/>
      <c r="N37" s="708"/>
      <c r="O37" s="715"/>
      <c r="P37" s="61">
        <f>F37+H37+J38+L39+L40+N40</f>
        <v>2.5172699999999999</v>
      </c>
    </row>
    <row r="38" spans="1:16" x14ac:dyDescent="0.25">
      <c r="A38" t="s">
        <v>605</v>
      </c>
      <c r="E38" s="70" t="s">
        <v>512</v>
      </c>
      <c r="F38" s="54"/>
      <c r="G38" s="54"/>
      <c r="H38" s="54"/>
      <c r="I38" s="54"/>
      <c r="J38" s="705">
        <v>0.89815999999999996</v>
      </c>
      <c r="K38" s="705"/>
      <c r="L38" s="54"/>
      <c r="M38" s="54"/>
      <c r="N38" s="716"/>
      <c r="O38" s="717"/>
      <c r="P38" s="61"/>
    </row>
    <row r="39" spans="1:16" x14ac:dyDescent="0.25">
      <c r="A39" t="s">
        <v>606</v>
      </c>
      <c r="E39" s="70" t="s">
        <v>532</v>
      </c>
      <c r="F39" s="54"/>
      <c r="G39" s="54"/>
      <c r="H39" s="54"/>
      <c r="I39" s="54"/>
      <c r="J39" s="67"/>
      <c r="K39" s="67"/>
      <c r="L39" s="54">
        <v>0.57364000000000004</v>
      </c>
      <c r="M39" s="54"/>
      <c r="N39" s="716"/>
      <c r="O39" s="717"/>
      <c r="P39" s="61"/>
    </row>
    <row r="40" spans="1:16" ht="15.75" thickBot="1" x14ac:dyDescent="0.3">
      <c r="A40" t="s">
        <v>607</v>
      </c>
      <c r="E40" s="72" t="s">
        <v>548</v>
      </c>
      <c r="F40" s="76"/>
      <c r="G40" s="76"/>
      <c r="H40" s="76"/>
      <c r="I40" s="76"/>
      <c r="J40" s="74"/>
      <c r="K40" s="74"/>
      <c r="L40" s="76">
        <v>0.26422000000000001</v>
      </c>
      <c r="M40" s="76"/>
      <c r="N40" s="718">
        <v>0.2399</v>
      </c>
      <c r="O40" s="719"/>
      <c r="P40" s="61"/>
    </row>
    <row r="41" spans="1:16" x14ac:dyDescent="0.25">
      <c r="E41" s="69" t="s">
        <v>507</v>
      </c>
      <c r="F41" s="73">
        <v>0.34708</v>
      </c>
      <c r="G41" s="75"/>
      <c r="H41" s="710">
        <v>0.20830000000000001</v>
      </c>
      <c r="I41" s="710"/>
      <c r="J41" s="73"/>
      <c r="K41" s="73"/>
      <c r="L41" s="73"/>
      <c r="M41" s="73"/>
      <c r="N41" s="708"/>
      <c r="O41" s="715"/>
      <c r="P41" s="61">
        <f>F41+H41+J42+L43+L44+N44</f>
        <v>2.29189</v>
      </c>
    </row>
    <row r="42" spans="1:16" x14ac:dyDescent="0.25">
      <c r="E42" s="70" t="s">
        <v>515</v>
      </c>
      <c r="F42" s="54"/>
      <c r="G42" s="54"/>
      <c r="H42" s="54"/>
      <c r="I42" s="54"/>
      <c r="J42" s="705">
        <v>0.52559999999999996</v>
      </c>
      <c r="K42" s="705"/>
      <c r="L42" s="54"/>
      <c r="M42" s="54"/>
      <c r="N42" s="716"/>
      <c r="O42" s="717"/>
      <c r="P42" s="61"/>
    </row>
    <row r="43" spans="1:16" x14ac:dyDescent="0.25">
      <c r="A43" s="2"/>
      <c r="E43" s="70" t="s">
        <v>533</v>
      </c>
      <c r="F43" s="54"/>
      <c r="G43" s="54"/>
      <c r="H43" s="54"/>
      <c r="I43" s="54"/>
      <c r="J43" s="67"/>
      <c r="K43" s="67"/>
      <c r="L43" s="54">
        <v>0.84328000000000003</v>
      </c>
      <c r="M43" s="54"/>
      <c r="N43" s="716"/>
      <c r="O43" s="717"/>
      <c r="P43" s="61"/>
    </row>
    <row r="44" spans="1:16" ht="15.75" thickBot="1" x14ac:dyDescent="0.3">
      <c r="A44" s="2" t="s">
        <v>608</v>
      </c>
      <c r="E44" s="72" t="s">
        <v>545</v>
      </c>
      <c r="F44" s="76"/>
      <c r="G44" s="76"/>
      <c r="H44" s="76"/>
      <c r="I44" s="76"/>
      <c r="J44" s="74"/>
      <c r="K44" s="74"/>
      <c r="L44" s="76">
        <v>0.23543</v>
      </c>
      <c r="M44" s="76"/>
      <c r="N44" s="718">
        <v>0.13220000000000001</v>
      </c>
      <c r="O44" s="719"/>
      <c r="P44" s="61"/>
    </row>
    <row r="45" spans="1:16" x14ac:dyDescent="0.25">
      <c r="A45" t="s">
        <v>609</v>
      </c>
      <c r="E45" s="69" t="s">
        <v>506</v>
      </c>
      <c r="F45" s="73">
        <v>0.47361999999999999</v>
      </c>
      <c r="G45" s="75"/>
      <c r="H45" s="710">
        <v>0.28101999999999999</v>
      </c>
      <c r="I45" s="710"/>
      <c r="J45" s="73"/>
      <c r="K45" s="73"/>
      <c r="L45" s="73"/>
      <c r="M45" s="73"/>
      <c r="N45" s="708"/>
      <c r="O45" s="715"/>
      <c r="P45" s="61">
        <f>F45+H45+L46+L47+N47+J51</f>
        <v>2.2079800000000001</v>
      </c>
    </row>
    <row r="46" spans="1:16" x14ac:dyDescent="0.25">
      <c r="E46" s="70" t="s">
        <v>534</v>
      </c>
      <c r="F46" s="54"/>
      <c r="G46" s="65"/>
      <c r="H46" s="67"/>
      <c r="I46" s="67"/>
      <c r="J46" s="54"/>
      <c r="K46" s="54"/>
      <c r="L46" s="54">
        <v>0.71950000000000003</v>
      </c>
      <c r="M46" s="54"/>
      <c r="N46" s="716"/>
      <c r="O46" s="717"/>
      <c r="P46" s="61"/>
    </row>
    <row r="47" spans="1:16" ht="15.75" thickBot="1" x14ac:dyDescent="0.3">
      <c r="A47" t="s">
        <v>610</v>
      </c>
      <c r="E47" s="72" t="s">
        <v>547</v>
      </c>
      <c r="F47" s="76"/>
      <c r="G47" s="78"/>
      <c r="H47" s="74"/>
      <c r="I47" s="74"/>
      <c r="J47" s="76"/>
      <c r="K47" s="76"/>
      <c r="L47" s="76">
        <v>0.20451</v>
      </c>
      <c r="M47" s="76"/>
      <c r="N47" s="718">
        <v>9.1600000000000001E-2</v>
      </c>
      <c r="O47" s="719"/>
      <c r="P47" s="61"/>
    </row>
    <row r="48" spans="1:16" x14ac:dyDescent="0.25">
      <c r="A48" t="s">
        <v>611</v>
      </c>
      <c r="E48" s="69" t="s">
        <v>508</v>
      </c>
      <c r="F48" s="73">
        <v>0.17321</v>
      </c>
      <c r="G48" s="75"/>
      <c r="H48" s="710">
        <v>9.2929999999999999E-2</v>
      </c>
      <c r="I48" s="710"/>
      <c r="J48" s="73"/>
      <c r="K48" s="73"/>
      <c r="L48" s="73"/>
      <c r="M48" s="73"/>
      <c r="N48" s="708"/>
      <c r="O48" s="715"/>
      <c r="P48" s="61">
        <f>F48+H48+L49+L50+N50+J51</f>
        <v>2.12704</v>
      </c>
    </row>
    <row r="49" spans="1:17" x14ac:dyDescent="0.25">
      <c r="A49" t="s">
        <v>612</v>
      </c>
      <c r="E49" s="70" t="s">
        <v>535</v>
      </c>
      <c r="F49" s="54"/>
      <c r="G49" s="65"/>
      <c r="H49" s="67"/>
      <c r="I49" s="67"/>
      <c r="J49" s="54"/>
      <c r="K49" s="54"/>
      <c r="L49" s="54">
        <v>1</v>
      </c>
      <c r="M49" s="54"/>
      <c r="N49" s="716"/>
      <c r="O49" s="717"/>
      <c r="P49" s="61"/>
    </row>
    <row r="50" spans="1:17" ht="15.75" thickBot="1" x14ac:dyDescent="0.3">
      <c r="A50" t="s">
        <v>613</v>
      </c>
      <c r="C50" s="39" t="s">
        <v>63</v>
      </c>
      <c r="E50" s="72" t="s">
        <v>541</v>
      </c>
      <c r="F50" s="76"/>
      <c r="G50" s="78"/>
      <c r="H50" s="74"/>
      <c r="I50" s="74"/>
      <c r="J50" s="76"/>
      <c r="K50" s="76"/>
      <c r="L50" s="76">
        <v>0.26967000000000002</v>
      </c>
      <c r="M50" s="76"/>
      <c r="N50" s="718">
        <v>0.1535</v>
      </c>
      <c r="O50" s="719"/>
      <c r="P50" s="61"/>
    </row>
    <row r="51" spans="1:17" ht="15.75" thickBot="1" x14ac:dyDescent="0.3">
      <c r="C51" s="39" t="s">
        <v>64</v>
      </c>
      <c r="E51" s="77" t="s">
        <v>517</v>
      </c>
      <c r="F51" s="83"/>
      <c r="G51" s="83"/>
      <c r="H51" s="83"/>
      <c r="I51" s="83"/>
      <c r="J51" s="707">
        <v>0.43773000000000001</v>
      </c>
      <c r="K51" s="707"/>
      <c r="L51" s="83"/>
      <c r="M51" s="83"/>
      <c r="N51" s="720"/>
      <c r="O51" s="721"/>
      <c r="P51" s="61"/>
    </row>
    <row r="52" spans="1:17" x14ac:dyDescent="0.25">
      <c r="A52" t="s">
        <v>614</v>
      </c>
      <c r="C52" s="39" t="s">
        <v>65</v>
      </c>
      <c r="E52" s="69" t="s">
        <v>509</v>
      </c>
      <c r="F52" s="73">
        <v>0.28996</v>
      </c>
      <c r="G52" s="75"/>
      <c r="H52" s="710">
        <v>0.25344</v>
      </c>
      <c r="I52" s="710"/>
      <c r="J52" s="73"/>
      <c r="K52" s="73"/>
      <c r="L52" s="73"/>
      <c r="M52" s="73"/>
      <c r="N52" s="708"/>
      <c r="O52" s="715"/>
      <c r="P52" s="61">
        <f>F52+H52+J53+L54+L55+N55</f>
        <v>2.0821799999999997</v>
      </c>
    </row>
    <row r="53" spans="1:17" x14ac:dyDescent="0.25">
      <c r="A53" t="s">
        <v>615</v>
      </c>
      <c r="C53" s="39" t="s">
        <v>66</v>
      </c>
      <c r="E53" s="70" t="s">
        <v>514</v>
      </c>
      <c r="F53" s="54"/>
      <c r="G53" s="54"/>
      <c r="H53" s="54"/>
      <c r="I53" s="54"/>
      <c r="J53" s="705">
        <v>0.65949000000000002</v>
      </c>
      <c r="K53" s="705"/>
      <c r="L53" s="54"/>
      <c r="M53" s="54"/>
      <c r="N53" s="716"/>
      <c r="O53" s="717"/>
      <c r="P53" s="61"/>
    </row>
    <row r="54" spans="1:17" x14ac:dyDescent="0.25">
      <c r="A54" t="s">
        <v>616</v>
      </c>
      <c r="C54" s="39" t="s">
        <v>67</v>
      </c>
      <c r="E54" s="70" t="s">
        <v>536</v>
      </c>
      <c r="F54" s="54"/>
      <c r="G54" s="54"/>
      <c r="H54" s="54"/>
      <c r="I54" s="54"/>
      <c r="J54" s="67"/>
      <c r="K54" s="67"/>
      <c r="L54" s="54">
        <v>0.56411</v>
      </c>
      <c r="M54" s="54"/>
      <c r="N54" s="716"/>
      <c r="O54" s="717"/>
      <c r="P54" s="61"/>
    </row>
    <row r="55" spans="1:17" ht="15.75" thickBot="1" x14ac:dyDescent="0.3">
      <c r="A55" t="s">
        <v>617</v>
      </c>
      <c r="C55" s="39" t="s">
        <v>68</v>
      </c>
      <c r="E55" s="72" t="s">
        <v>555</v>
      </c>
      <c r="F55" s="76"/>
      <c r="G55" s="76"/>
      <c r="H55" s="76"/>
      <c r="I55" s="76"/>
      <c r="J55" s="74"/>
      <c r="K55" s="74"/>
      <c r="L55" s="76">
        <v>0.14326</v>
      </c>
      <c r="M55" s="76"/>
      <c r="N55" s="718">
        <v>0.17191999999999999</v>
      </c>
      <c r="O55" s="719"/>
      <c r="P55" s="61"/>
    </row>
    <row r="56" spans="1:17" x14ac:dyDescent="0.25">
      <c r="A56" t="s">
        <v>618</v>
      </c>
      <c r="C56" s="39" t="s">
        <v>69</v>
      </c>
      <c r="E56" s="69" t="s">
        <v>550</v>
      </c>
      <c r="F56" s="73"/>
      <c r="G56" s="73"/>
      <c r="H56" s="73"/>
      <c r="I56" s="73"/>
      <c r="J56" s="79"/>
      <c r="K56" s="79"/>
      <c r="L56" s="73">
        <v>0.19162000000000001</v>
      </c>
      <c r="M56" s="73"/>
      <c r="N56" s="708"/>
      <c r="O56" s="715"/>
      <c r="P56" s="61">
        <f>L56+L57+L58+L59+N58+N59</f>
        <v>2.1837599999999999</v>
      </c>
    </row>
    <row r="57" spans="1:17" x14ac:dyDescent="0.25">
      <c r="C57" s="39" t="s">
        <v>70</v>
      </c>
      <c r="E57" s="70" t="s">
        <v>538</v>
      </c>
      <c r="F57" s="54"/>
      <c r="G57" s="54"/>
      <c r="H57" s="54"/>
      <c r="I57" s="54"/>
      <c r="J57" s="67"/>
      <c r="K57" s="67"/>
      <c r="L57" s="54">
        <v>0.49523</v>
      </c>
      <c r="M57" s="54"/>
      <c r="N57" s="716"/>
      <c r="O57" s="717"/>
      <c r="P57" s="61"/>
    </row>
    <row r="58" spans="1:17" x14ac:dyDescent="0.25">
      <c r="C58" s="39" t="s">
        <v>71</v>
      </c>
      <c r="E58" s="70" t="s">
        <v>537</v>
      </c>
      <c r="F58" s="54"/>
      <c r="G58" s="54"/>
      <c r="H58" s="54"/>
      <c r="I58" s="54"/>
      <c r="J58" s="67"/>
      <c r="K58" s="67"/>
      <c r="L58" s="54">
        <v>0.47439999999999999</v>
      </c>
      <c r="M58" s="54"/>
      <c r="N58" s="716">
        <v>0.60697000000000001</v>
      </c>
      <c r="O58" s="717"/>
      <c r="P58" s="61"/>
    </row>
    <row r="59" spans="1:17" ht="15.75" thickBot="1" x14ac:dyDescent="0.3">
      <c r="C59" s="39" t="s">
        <v>72</v>
      </c>
      <c r="E59" s="72" t="s">
        <v>558</v>
      </c>
      <c r="F59" s="76"/>
      <c r="G59" s="76"/>
      <c r="H59" s="76"/>
      <c r="I59" s="76"/>
      <c r="J59" s="74"/>
      <c r="K59" s="74"/>
      <c r="L59" s="76">
        <v>0.16774</v>
      </c>
      <c r="M59" s="76"/>
      <c r="N59" s="718">
        <v>0.24779999999999999</v>
      </c>
      <c r="O59" s="719"/>
      <c r="P59" s="61"/>
    </row>
    <row r="60" spans="1:17" x14ac:dyDescent="0.25">
      <c r="C60" s="39" t="s">
        <v>73</v>
      </c>
      <c r="E60" s="69" t="s">
        <v>516</v>
      </c>
      <c r="F60" s="73"/>
      <c r="G60" s="73"/>
      <c r="H60" s="73"/>
      <c r="I60" s="73"/>
      <c r="J60" s="708">
        <v>0.45617999999999997</v>
      </c>
      <c r="K60" s="709"/>
      <c r="L60" s="73"/>
      <c r="M60" s="73"/>
      <c r="N60" s="708"/>
      <c r="O60" s="715"/>
      <c r="P60" s="61">
        <f>J60+L62+N62+L63+L64+N64</f>
        <v>2.0612399999999997</v>
      </c>
    </row>
    <row r="61" spans="1:17" x14ac:dyDescent="0.25">
      <c r="C61" s="39" t="s">
        <v>74</v>
      </c>
      <c r="E61" s="70" t="s">
        <v>540</v>
      </c>
      <c r="F61" s="54"/>
      <c r="G61" s="54"/>
      <c r="H61" s="54"/>
      <c r="I61" s="54"/>
      <c r="J61" s="54"/>
      <c r="K61" s="54"/>
      <c r="L61" s="54">
        <v>0.28649999999999998</v>
      </c>
      <c r="M61" s="54"/>
      <c r="N61" s="716">
        <v>0.80176999999999998</v>
      </c>
      <c r="O61" s="717"/>
      <c r="P61" s="61">
        <f>J60+L61+N61+L63+L64+N64</f>
        <v>2.4324300000000001</v>
      </c>
      <c r="Q61" t="s">
        <v>809</v>
      </c>
    </row>
    <row r="62" spans="1:17" x14ac:dyDescent="0.25">
      <c r="C62" s="39" t="s">
        <v>75</v>
      </c>
      <c r="E62" s="70" t="s">
        <v>549</v>
      </c>
      <c r="F62" s="54"/>
      <c r="G62" s="54"/>
      <c r="H62" s="54"/>
      <c r="I62" s="54"/>
      <c r="J62" s="54"/>
      <c r="K62" s="54"/>
      <c r="L62" s="54">
        <v>0.20932000000000001</v>
      </c>
      <c r="M62" s="54"/>
      <c r="N62" s="716">
        <v>0.50775999999999999</v>
      </c>
      <c r="O62" s="717"/>
      <c r="P62" s="61"/>
    </row>
    <row r="63" spans="1:17" x14ac:dyDescent="0.25">
      <c r="C63" s="39" t="s">
        <v>76</v>
      </c>
      <c r="E63" s="70" t="s">
        <v>552</v>
      </c>
      <c r="F63" s="54"/>
      <c r="G63" s="54"/>
      <c r="H63" s="54"/>
      <c r="I63" s="54"/>
      <c r="J63" s="54"/>
      <c r="K63" s="54"/>
      <c r="L63" s="54">
        <v>0.14599000000000001</v>
      </c>
      <c r="M63" s="54"/>
      <c r="N63" s="716"/>
      <c r="O63" s="717"/>
      <c r="P63" s="61"/>
    </row>
    <row r="64" spans="1:17" ht="15.75" thickBot="1" x14ac:dyDescent="0.3">
      <c r="C64" s="39" t="s">
        <v>77</v>
      </c>
      <c r="E64" s="72" t="s">
        <v>539</v>
      </c>
      <c r="F64" s="76"/>
      <c r="G64" s="76"/>
      <c r="H64" s="76"/>
      <c r="I64" s="76"/>
      <c r="J64" s="76"/>
      <c r="K64" s="76"/>
      <c r="L64" s="76">
        <v>0.12414</v>
      </c>
      <c r="M64" s="76"/>
      <c r="N64" s="718">
        <v>0.61785000000000001</v>
      </c>
      <c r="O64" s="719"/>
      <c r="P64" s="61"/>
    </row>
    <row r="65" spans="3:17" x14ac:dyDescent="0.25">
      <c r="C65" s="39" t="s">
        <v>78</v>
      </c>
      <c r="E65" s="69" t="s">
        <v>544</v>
      </c>
      <c r="F65" s="73"/>
      <c r="G65" s="73"/>
      <c r="H65" s="73"/>
      <c r="I65" s="73"/>
      <c r="J65" s="73"/>
      <c r="K65" s="73"/>
      <c r="L65" s="73">
        <v>0.23763000000000001</v>
      </c>
      <c r="M65" s="73"/>
      <c r="N65" s="708">
        <v>1</v>
      </c>
      <c r="O65" s="715"/>
      <c r="P65" s="61">
        <f>L65+N65+L66+L67+N67</f>
        <v>1.8703959999999999</v>
      </c>
      <c r="Q65" s="61"/>
    </row>
    <row r="66" spans="3:17" x14ac:dyDescent="0.25">
      <c r="C66" s="39" t="s">
        <v>79</v>
      </c>
      <c r="E66" s="70" t="s">
        <v>553</v>
      </c>
      <c r="F66" s="54"/>
      <c r="G66" s="54"/>
      <c r="H66" s="54"/>
      <c r="I66" s="54"/>
      <c r="J66" s="54"/>
      <c r="K66" s="54"/>
      <c r="L66" s="54">
        <v>0.17316000000000001</v>
      </c>
      <c r="M66" s="54"/>
      <c r="N66" s="716"/>
      <c r="O66" s="717"/>
      <c r="P66" s="61"/>
      <c r="Q66" s="61"/>
    </row>
    <row r="67" spans="3:17" ht="15.75" thickBot="1" x14ac:dyDescent="0.3">
      <c r="C67" s="39" t="s">
        <v>80</v>
      </c>
      <c r="E67" s="72" t="s">
        <v>556</v>
      </c>
      <c r="F67" s="76"/>
      <c r="G67" s="76"/>
      <c r="H67" s="76"/>
      <c r="I67" s="76"/>
      <c r="J67" s="76"/>
      <c r="K67" s="76"/>
      <c r="L67" s="76">
        <v>0.12317</v>
      </c>
      <c r="M67" s="76"/>
      <c r="N67" s="718">
        <v>0.33643600000000001</v>
      </c>
      <c r="O67" s="719"/>
      <c r="P67" s="61"/>
      <c r="Q67" s="61"/>
    </row>
    <row r="68" spans="3:17" x14ac:dyDescent="0.25">
      <c r="C68" s="39" t="s">
        <v>81</v>
      </c>
      <c r="E68" s="69" t="s">
        <v>559</v>
      </c>
      <c r="F68" s="73"/>
      <c r="G68" s="73"/>
      <c r="H68" s="73"/>
      <c r="I68" s="73"/>
      <c r="J68" s="73"/>
      <c r="K68" s="73"/>
      <c r="L68" s="73">
        <v>0.20199</v>
      </c>
      <c r="M68" s="73"/>
      <c r="N68" s="708">
        <v>0.85</v>
      </c>
      <c r="O68" s="715"/>
      <c r="P68" s="61">
        <f>L68+N68+L69+L70+N70</f>
        <v>1.6197900000000001</v>
      </c>
    </row>
    <row r="69" spans="3:17" x14ac:dyDescent="0.25">
      <c r="C69" s="39" t="s">
        <v>82</v>
      </c>
      <c r="E69" s="70" t="s">
        <v>554</v>
      </c>
      <c r="F69" s="54"/>
      <c r="G69" s="54"/>
      <c r="H69" s="54"/>
      <c r="I69" s="54"/>
      <c r="J69" s="54"/>
      <c r="K69" s="54"/>
      <c r="L69" s="54">
        <v>0.17718999999999999</v>
      </c>
      <c r="M69" s="54"/>
      <c r="N69" s="716"/>
      <c r="O69" s="717"/>
      <c r="P69" s="61"/>
    </row>
    <row r="70" spans="3:17" ht="15.75" thickBot="1" x14ac:dyDescent="0.3">
      <c r="C70" s="39" t="s">
        <v>83</v>
      </c>
      <c r="E70" s="71" t="s">
        <v>557</v>
      </c>
      <c r="F70" s="84"/>
      <c r="G70" s="84"/>
      <c r="H70" s="84"/>
      <c r="I70" s="84"/>
      <c r="J70" s="84"/>
      <c r="K70" s="84"/>
      <c r="L70" s="84">
        <v>0.1047</v>
      </c>
      <c r="M70" s="84"/>
      <c r="N70" s="713">
        <v>0.28591</v>
      </c>
      <c r="O70" s="714"/>
      <c r="P70" s="61"/>
    </row>
  </sheetData>
  <mergeCells count="93">
    <mergeCell ref="N63:O63"/>
    <mergeCell ref="N69:O69"/>
    <mergeCell ref="N64:O64"/>
    <mergeCell ref="N65:O65"/>
    <mergeCell ref="N66:O66"/>
    <mergeCell ref="N67:O67"/>
    <mergeCell ref="N68:O68"/>
    <mergeCell ref="N58:O58"/>
    <mergeCell ref="N59:O59"/>
    <mergeCell ref="N60:O60"/>
    <mergeCell ref="N61:O61"/>
    <mergeCell ref="N62:O62"/>
    <mergeCell ref="N53:O53"/>
    <mergeCell ref="N54:O54"/>
    <mergeCell ref="N55:O55"/>
    <mergeCell ref="N56:O56"/>
    <mergeCell ref="N57:O57"/>
    <mergeCell ref="N48:O48"/>
    <mergeCell ref="N49:O49"/>
    <mergeCell ref="N50:O50"/>
    <mergeCell ref="N51:O51"/>
    <mergeCell ref="N52:O52"/>
    <mergeCell ref="N43:O43"/>
    <mergeCell ref="N44:O44"/>
    <mergeCell ref="N45:O45"/>
    <mergeCell ref="N46:O46"/>
    <mergeCell ref="N47:O47"/>
    <mergeCell ref="N38:O38"/>
    <mergeCell ref="N39:O39"/>
    <mergeCell ref="N40:O40"/>
    <mergeCell ref="N41:O41"/>
    <mergeCell ref="N42:O42"/>
    <mergeCell ref="H20:I20"/>
    <mergeCell ref="H23:I23"/>
    <mergeCell ref="H26:I26"/>
    <mergeCell ref="N70:O70"/>
    <mergeCell ref="N26:O26"/>
    <mergeCell ref="N27:O27"/>
    <mergeCell ref="N28:O28"/>
    <mergeCell ref="N29:O29"/>
    <mergeCell ref="N30:O30"/>
    <mergeCell ref="N31:O31"/>
    <mergeCell ref="N32:O32"/>
    <mergeCell ref="N33:O33"/>
    <mergeCell ref="N34:O34"/>
    <mergeCell ref="N35:O35"/>
    <mergeCell ref="N36:O36"/>
    <mergeCell ref="N37:O37"/>
    <mergeCell ref="F1:G1"/>
    <mergeCell ref="F37:G37"/>
    <mergeCell ref="F12:G12"/>
    <mergeCell ref="F34:G34"/>
    <mergeCell ref="F3:G3"/>
    <mergeCell ref="F4:G4"/>
    <mergeCell ref="N1:O1"/>
    <mergeCell ref="J1:K1"/>
    <mergeCell ref="H14:I14"/>
    <mergeCell ref="H17:I17"/>
    <mergeCell ref="H12:I12"/>
    <mergeCell ref="H9:I9"/>
    <mergeCell ref="H7:I7"/>
    <mergeCell ref="J8:K8"/>
    <mergeCell ref="J6:K6"/>
    <mergeCell ref="H2:I2"/>
    <mergeCell ref="J2:K2"/>
    <mergeCell ref="N2:O2"/>
    <mergeCell ref="H5:I5"/>
    <mergeCell ref="H3:I3"/>
    <mergeCell ref="H4:I4"/>
    <mergeCell ref="H1:I1"/>
    <mergeCell ref="H52:I52"/>
    <mergeCell ref="H29:I29"/>
    <mergeCell ref="H31:I31"/>
    <mergeCell ref="H34:I34"/>
    <mergeCell ref="H37:I37"/>
    <mergeCell ref="H45:I45"/>
    <mergeCell ref="H41:I41"/>
    <mergeCell ref="H48:I48"/>
    <mergeCell ref="J60:K60"/>
    <mergeCell ref="J24:K24"/>
    <mergeCell ref="J18:K18"/>
    <mergeCell ref="J38:K38"/>
    <mergeCell ref="J35:K35"/>
    <mergeCell ref="L1:M1"/>
    <mergeCell ref="J10:K10"/>
    <mergeCell ref="J15:K15"/>
    <mergeCell ref="J13:K13"/>
    <mergeCell ref="J53:K53"/>
    <mergeCell ref="J42:K42"/>
    <mergeCell ref="J51:K51"/>
    <mergeCell ref="J27:K27"/>
    <mergeCell ref="J33:K33"/>
    <mergeCell ref="J21:K21"/>
  </mergeCells>
  <conditionalFormatting sqref="F3:O70">
    <cfRule type="cellIs" dxfId="1894" priority="1" operator="between">
      <formula>0.15</formula>
      <formula>0.3</formula>
    </cfRule>
    <cfRule type="cellIs" dxfId="1893" priority="2" operator="between">
      <formula>0.3</formula>
      <formula>0.6</formula>
    </cfRule>
    <cfRule type="cellIs" dxfId="1892" priority="3" operator="greaterThan">
      <formula>0.6</formula>
    </cfRule>
    <cfRule type="cellIs" dxfId="1891" priority="4" operator="lessThan">
      <formula>0.15</formula>
    </cfRule>
  </conditionalFormatting>
  <pageMargins left="0.7" right="0.7" top="0.75" bottom="0.75" header="0.3" footer="0.3"/>
  <pageSetup paperSize="9" scale="4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P59"/>
  <sheetViews>
    <sheetView zoomScale="90" zoomScaleNormal="90" workbookViewId="0">
      <pane xSplit="9" ySplit="2" topLeftCell="J3" activePane="bottomRight" state="frozen"/>
      <selection pane="topRight" activeCell="J1" sqref="J1"/>
      <selection pane="bottomLeft" activeCell="A3" sqref="A3"/>
      <selection pane="bottomRight" activeCell="K60" sqref="K60"/>
    </sheetView>
  </sheetViews>
  <sheetFormatPr baseColWidth="10" defaultColWidth="11.42578125" defaultRowHeight="15" x14ac:dyDescent="0.25"/>
  <cols>
    <col min="1" max="1" width="2.28515625" customWidth="1"/>
    <col min="2" max="2" width="16.140625" bestFit="1" customWidth="1"/>
    <col min="3" max="3" width="18.28515625" style="225" bestFit="1" customWidth="1"/>
    <col min="4" max="4" width="6.28515625" style="225" bestFit="1" customWidth="1"/>
    <col min="5" max="5" width="21.5703125" bestFit="1" customWidth="1"/>
    <col min="6" max="6" width="18.28515625" style="225" bestFit="1" customWidth="1"/>
    <col min="7" max="7" width="6.28515625" style="225" bestFit="1" customWidth="1"/>
    <col min="9" max="9" width="4.85546875" bestFit="1" customWidth="1"/>
    <col min="10" max="10" width="11.5703125" bestFit="1" customWidth="1"/>
    <col min="11" max="11" width="12.7109375" bestFit="1" customWidth="1"/>
    <col min="12" max="12" width="12.42578125" bestFit="1" customWidth="1"/>
    <col min="13" max="13" width="12.7109375" bestFit="1" customWidth="1"/>
    <col min="14" max="14" width="14" bestFit="1" customWidth="1"/>
    <col min="15" max="15" width="11.140625" bestFit="1" customWidth="1"/>
    <col min="16" max="16" width="13.7109375" bestFit="1" customWidth="1"/>
  </cols>
  <sheetData>
    <row r="1" spans="2:16" ht="21" x14ac:dyDescent="0.35">
      <c r="B1" s="735" t="s">
        <v>1028</v>
      </c>
      <c r="C1" s="736"/>
      <c r="D1" s="736"/>
      <c r="E1" s="736"/>
      <c r="F1" s="736"/>
      <c r="G1" s="274"/>
      <c r="I1" s="750" t="s">
        <v>1035</v>
      </c>
      <c r="J1" s="751"/>
      <c r="K1" s="751"/>
      <c r="L1" s="751"/>
      <c r="M1" s="751"/>
      <c r="N1" s="751"/>
      <c r="O1" s="751"/>
      <c r="P1" s="751"/>
    </row>
    <row r="2" spans="2:16" x14ac:dyDescent="0.25">
      <c r="B2" s="749" t="s">
        <v>1025</v>
      </c>
      <c r="C2" s="749"/>
      <c r="D2" s="749"/>
      <c r="E2" s="749"/>
      <c r="F2" s="749"/>
      <c r="G2" s="749"/>
      <c r="I2" s="17" t="s">
        <v>36</v>
      </c>
      <c r="J2" s="17" t="s">
        <v>481</v>
      </c>
      <c r="K2" s="17" t="s">
        <v>50</v>
      </c>
      <c r="L2" s="17" t="s">
        <v>1141</v>
      </c>
      <c r="M2" s="17" t="s">
        <v>879</v>
      </c>
      <c r="N2" s="17" t="s">
        <v>1027</v>
      </c>
      <c r="O2" s="17" t="s">
        <v>1002</v>
      </c>
      <c r="P2" s="17" t="s">
        <v>1007</v>
      </c>
    </row>
    <row r="3" spans="2:16" ht="18.75" x14ac:dyDescent="0.3">
      <c r="B3" s="737" t="s">
        <v>948</v>
      </c>
      <c r="C3" s="738"/>
      <c r="D3" s="268"/>
      <c r="E3" s="739" t="s">
        <v>949</v>
      </c>
      <c r="F3" s="738"/>
      <c r="G3" s="268"/>
      <c r="I3" s="11" t="s">
        <v>1004</v>
      </c>
      <c r="J3" s="11" t="s">
        <v>956</v>
      </c>
      <c r="K3" s="15">
        <v>624000</v>
      </c>
      <c r="L3" s="15">
        <v>0</v>
      </c>
      <c r="M3" s="15">
        <v>0</v>
      </c>
      <c r="N3" s="15">
        <v>0</v>
      </c>
      <c r="O3" s="15">
        <f t="shared" ref="O3:O54" si="0">IF(M3=0,0,M3-K3)-N3</f>
        <v>0</v>
      </c>
      <c r="P3" s="15">
        <f t="shared" ref="P3:P54" si="1">IF(M3=0,K3,0)</f>
        <v>624000</v>
      </c>
    </row>
    <row r="4" spans="2:16" x14ac:dyDescent="0.25">
      <c r="B4" s="243"/>
      <c r="C4" s="244"/>
      <c r="D4" s="269"/>
      <c r="E4" s="254"/>
      <c r="F4" s="280"/>
      <c r="G4" s="269"/>
      <c r="I4" s="11" t="s">
        <v>1004</v>
      </c>
      <c r="J4" s="11" t="s">
        <v>957</v>
      </c>
      <c r="K4" s="15">
        <v>56001</v>
      </c>
      <c r="L4" s="15">
        <v>0</v>
      </c>
      <c r="M4" s="15">
        <v>219111</v>
      </c>
      <c r="N4" s="15">
        <v>15338</v>
      </c>
      <c r="O4" s="15">
        <f t="shared" si="0"/>
        <v>147772</v>
      </c>
      <c r="P4" s="15">
        <f t="shared" si="1"/>
        <v>0</v>
      </c>
    </row>
    <row r="5" spans="2:16" x14ac:dyDescent="0.25">
      <c r="B5" s="226" t="s">
        <v>951</v>
      </c>
      <c r="C5" s="242">
        <f>SUM(C6:C8)</f>
        <v>1579385</v>
      </c>
      <c r="D5" s="271">
        <f ca="1">C5/$C$32</f>
        <v>6.5372325918866769E-2</v>
      </c>
      <c r="E5" s="255" t="s">
        <v>1033</v>
      </c>
      <c r="F5" s="281">
        <f>F6+F7+F8</f>
        <v>6526403</v>
      </c>
      <c r="G5" s="271">
        <f>F5/$F$32</f>
        <v>0.27013435229147409</v>
      </c>
      <c r="I5" s="11" t="s">
        <v>1006</v>
      </c>
      <c r="J5" s="11" t="s">
        <v>963</v>
      </c>
      <c r="K5" s="15">
        <v>74001</v>
      </c>
      <c r="L5" s="15">
        <v>0</v>
      </c>
      <c r="M5" s="15">
        <v>99111</v>
      </c>
      <c r="N5" s="15">
        <v>7235</v>
      </c>
      <c r="O5" s="15">
        <f t="shared" si="0"/>
        <v>17875</v>
      </c>
      <c r="P5" s="15">
        <f t="shared" si="1"/>
        <v>0</v>
      </c>
    </row>
    <row r="6" spans="2:16" x14ac:dyDescent="0.25">
      <c r="B6" s="249" t="s">
        <v>30</v>
      </c>
      <c r="C6" s="250">
        <f>360170+EconomiaT37!C16</f>
        <v>1163585</v>
      </c>
      <c r="D6" s="272">
        <f ca="1">C6/$C$32</f>
        <v>4.8161947754540274E-2</v>
      </c>
      <c r="E6" s="256" t="s">
        <v>1029</v>
      </c>
      <c r="F6" s="282">
        <v>300000</v>
      </c>
      <c r="G6" s="272">
        <f>F6/$F$32</f>
        <v>1.2417300262861829E-2</v>
      </c>
      <c r="I6" s="11" t="s">
        <v>1006</v>
      </c>
      <c r="J6" s="11" t="s">
        <v>970</v>
      </c>
      <c r="K6" s="15">
        <v>200000</v>
      </c>
      <c r="L6" s="15">
        <v>0</v>
      </c>
      <c r="M6" s="15">
        <v>245111</v>
      </c>
      <c r="N6" s="15">
        <v>17893</v>
      </c>
      <c r="O6" s="15">
        <f t="shared" si="0"/>
        <v>27218</v>
      </c>
      <c r="P6" s="15">
        <f t="shared" si="1"/>
        <v>0</v>
      </c>
    </row>
    <row r="7" spans="2:16" x14ac:dyDescent="0.25">
      <c r="B7" s="249" t="s">
        <v>11</v>
      </c>
      <c r="C7" s="250">
        <f>368800+EconomiaT37!C20+K39</f>
        <v>415800</v>
      </c>
      <c r="D7" s="272">
        <f ca="1">C7/$C$32</f>
        <v>1.7210378164326495E-2</v>
      </c>
      <c r="E7" s="256" t="s">
        <v>1144</v>
      </c>
      <c r="F7" s="282">
        <v>2640669</v>
      </c>
      <c r="G7" s="272">
        <f>F7/$F$32</f>
        <v>0.10929993289277028</v>
      </c>
      <c r="I7" s="11" t="s">
        <v>1006</v>
      </c>
      <c r="J7" s="11" t="s">
        <v>974</v>
      </c>
      <c r="K7" s="15">
        <v>61000</v>
      </c>
      <c r="L7" s="15">
        <v>0</v>
      </c>
      <c r="M7" s="15">
        <v>105000</v>
      </c>
      <c r="N7" s="15">
        <v>8232</v>
      </c>
      <c r="O7" s="15">
        <f t="shared" si="0"/>
        <v>35768</v>
      </c>
      <c r="P7" s="15">
        <f t="shared" si="1"/>
        <v>0</v>
      </c>
    </row>
    <row r="8" spans="2:16" x14ac:dyDescent="0.25">
      <c r="B8" s="245" t="s">
        <v>1026</v>
      </c>
      <c r="C8" s="248">
        <v>0</v>
      </c>
      <c r="D8" s="272">
        <f ca="1">C8/$C$32</f>
        <v>0</v>
      </c>
      <c r="E8" s="256" t="s">
        <v>1201</v>
      </c>
      <c r="F8" s="282">
        <f>2691513+894221</f>
        <v>3585734</v>
      </c>
      <c r="G8" s="272">
        <f>F8/$F$32</f>
        <v>0.14841711913584199</v>
      </c>
      <c r="I8" s="11" t="s">
        <v>1004</v>
      </c>
      <c r="J8" s="11" t="s">
        <v>980</v>
      </c>
      <c r="K8" s="15">
        <v>332000</v>
      </c>
      <c r="L8" s="15">
        <v>0</v>
      </c>
      <c r="M8" s="15">
        <v>833000</v>
      </c>
      <c r="N8" s="15">
        <v>58310</v>
      </c>
      <c r="O8" s="15">
        <f t="shared" si="0"/>
        <v>442690</v>
      </c>
      <c r="P8" s="15">
        <f t="shared" si="1"/>
        <v>0</v>
      </c>
    </row>
    <row r="9" spans="2:16" x14ac:dyDescent="0.25">
      <c r="B9" s="228"/>
      <c r="C9" s="227"/>
      <c r="D9" s="271"/>
      <c r="E9" s="257"/>
      <c r="F9" s="251"/>
      <c r="G9" s="271"/>
      <c r="I9" s="11" t="s">
        <v>1006</v>
      </c>
      <c r="J9" s="11" t="s">
        <v>981</v>
      </c>
      <c r="K9" s="15">
        <v>326001</v>
      </c>
      <c r="L9" s="15">
        <v>0</v>
      </c>
      <c r="M9" s="15">
        <v>0</v>
      </c>
      <c r="N9" s="15">
        <v>0</v>
      </c>
      <c r="O9" s="15">
        <f t="shared" si="0"/>
        <v>0</v>
      </c>
      <c r="P9" s="15">
        <f t="shared" si="1"/>
        <v>326001</v>
      </c>
    </row>
    <row r="10" spans="2:16" x14ac:dyDescent="0.25">
      <c r="B10" s="226" t="s">
        <v>481</v>
      </c>
      <c r="C10" s="242">
        <f ca="1">SUM(C11:C14)</f>
        <v>10059225</v>
      </c>
      <c r="D10" s="271">
        <f ca="1">C10/$C$32</f>
        <v>0.41636139078895429</v>
      </c>
      <c r="E10" s="255" t="s">
        <v>950</v>
      </c>
      <c r="F10" s="281">
        <f>SUM(F11:F15)+C8</f>
        <v>5274236</v>
      </c>
      <c r="G10" s="271">
        <f t="shared" ref="G10:G15" si="2">F10/$F$32</f>
        <v>0.21830590689731774</v>
      </c>
      <c r="I10" s="11" t="s">
        <v>1006</v>
      </c>
      <c r="J10" s="11" t="s">
        <v>983</v>
      </c>
      <c r="K10" s="15">
        <v>135000</v>
      </c>
      <c r="L10" s="15">
        <v>0</v>
      </c>
      <c r="M10" s="15">
        <v>261000</v>
      </c>
      <c r="N10" s="15">
        <v>21376</v>
      </c>
      <c r="O10" s="15">
        <f t="shared" si="0"/>
        <v>104624</v>
      </c>
      <c r="P10" s="15">
        <f t="shared" si="1"/>
        <v>0</v>
      </c>
    </row>
    <row r="11" spans="2:16" x14ac:dyDescent="0.25">
      <c r="B11" s="231" t="s">
        <v>998</v>
      </c>
      <c r="C11" s="232">
        <f ca="1">SUMIF(I3:I114,"C",$P$3:$P$59)</f>
        <v>0</v>
      </c>
      <c r="D11" s="272">
        <f ca="1">C11/$C$32</f>
        <v>0</v>
      </c>
      <c r="E11" s="259" t="s">
        <v>1194</v>
      </c>
      <c r="F11" s="283">
        <f>SUMIF(I3:I58,"J",$O$3:$O$59)</f>
        <v>226688</v>
      </c>
      <c r="G11" s="272">
        <f t="shared" si="2"/>
        <v>9.3828432066254078E-3</v>
      </c>
      <c r="I11" s="11" t="s">
        <v>1006</v>
      </c>
      <c r="J11" s="11" t="s">
        <v>985</v>
      </c>
      <c r="K11" s="15">
        <v>765000</v>
      </c>
      <c r="L11" s="15">
        <v>0</v>
      </c>
      <c r="M11" s="15">
        <v>0</v>
      </c>
      <c r="N11" s="15">
        <v>0</v>
      </c>
      <c r="O11" s="15">
        <f t="shared" si="0"/>
        <v>0</v>
      </c>
      <c r="P11" s="15">
        <f t="shared" si="1"/>
        <v>765000</v>
      </c>
    </row>
    <row r="12" spans="2:16" x14ac:dyDescent="0.25">
      <c r="B12" s="231" t="s">
        <v>481</v>
      </c>
      <c r="C12" s="232">
        <f ca="1">SUMIF(I3:I79,"J",$P$3:$P$59)</f>
        <v>6005113</v>
      </c>
      <c r="D12" s="272">
        <f ca="1">C12/$C$32</f>
        <v>0.24855763744471662</v>
      </c>
      <c r="E12" s="259" t="s">
        <v>1195</v>
      </c>
      <c r="F12" s="283">
        <f>SUMIF(I3:I56,"C",$O$3:$O$59)</f>
        <v>203300</v>
      </c>
      <c r="G12" s="272">
        <f t="shared" si="2"/>
        <v>8.4147904781327002E-3</v>
      </c>
      <c r="I12" s="11" t="s">
        <v>1006</v>
      </c>
      <c r="J12" s="11" t="s">
        <v>986</v>
      </c>
      <c r="K12" s="15">
        <v>162000</v>
      </c>
      <c r="L12" s="15">
        <v>0</v>
      </c>
      <c r="M12" s="15">
        <v>209000</v>
      </c>
      <c r="N12" s="15">
        <v>21652</v>
      </c>
      <c r="O12" s="15">
        <f t="shared" si="0"/>
        <v>25348</v>
      </c>
      <c r="P12" s="15">
        <f t="shared" si="1"/>
        <v>0</v>
      </c>
    </row>
    <row r="13" spans="2:16" x14ac:dyDescent="0.25">
      <c r="B13" s="231" t="s">
        <v>819</v>
      </c>
      <c r="C13" s="232">
        <f>SUMIF(I3:I59,"E",$P$3:$P$59)</f>
        <v>4054112</v>
      </c>
      <c r="D13" s="272">
        <f ca="1">C13/$C$32</f>
        <v>0.16780375334423767</v>
      </c>
      <c r="E13" s="259" t="s">
        <v>1196</v>
      </c>
      <c r="F13" s="283">
        <f>SUMIF(I3:I56,"E",$O$3:$O$59)</f>
        <v>3895778</v>
      </c>
      <c r="G13" s="272">
        <f t="shared" si="2"/>
        <v>0.16125015061150444</v>
      </c>
      <c r="I13" s="11" t="s">
        <v>1005</v>
      </c>
      <c r="J13" s="11" t="s">
        <v>987</v>
      </c>
      <c r="K13" s="15">
        <v>30001</v>
      </c>
      <c r="L13" s="15">
        <v>0</v>
      </c>
      <c r="M13" s="15">
        <v>49111</v>
      </c>
      <c r="N13" s="15">
        <v>4891</v>
      </c>
      <c r="O13" s="15">
        <f t="shared" si="0"/>
        <v>14219</v>
      </c>
      <c r="P13" s="15">
        <f t="shared" si="1"/>
        <v>0</v>
      </c>
    </row>
    <row r="14" spans="2:16" x14ac:dyDescent="0.25">
      <c r="B14" s="231" t="s">
        <v>997</v>
      </c>
      <c r="C14" s="232">
        <f>SUMIF(I3:I59,"M",$P$3:$P$59)</f>
        <v>0</v>
      </c>
      <c r="D14" s="272">
        <f ca="1">C14/$C$32</f>
        <v>0</v>
      </c>
      <c r="E14" s="259" t="s">
        <v>1197</v>
      </c>
      <c r="F14" s="283">
        <f>SUMIF(I3:I57,"M",$O$3:$O$59)</f>
        <v>123901</v>
      </c>
      <c r="G14" s="272">
        <f t="shared" si="2"/>
        <v>5.1283863995628121E-3</v>
      </c>
      <c r="I14" s="11" t="s">
        <v>1005</v>
      </c>
      <c r="J14" s="11" t="s">
        <v>988</v>
      </c>
      <c r="K14" s="15">
        <v>30001</v>
      </c>
      <c r="L14" s="15">
        <v>0</v>
      </c>
      <c r="M14" s="15">
        <v>49111</v>
      </c>
      <c r="N14" s="15">
        <v>4680</v>
      </c>
      <c r="O14" s="15">
        <f t="shared" si="0"/>
        <v>14430</v>
      </c>
      <c r="P14" s="15">
        <f t="shared" si="1"/>
        <v>0</v>
      </c>
    </row>
    <row r="15" spans="2:16" x14ac:dyDescent="0.25">
      <c r="B15" s="235"/>
      <c r="C15" s="236"/>
      <c r="D15" s="271"/>
      <c r="E15" s="288" t="s">
        <v>1193</v>
      </c>
      <c r="F15" s="289">
        <f>C21-F21</f>
        <v>824569</v>
      </c>
      <c r="G15" s="272">
        <f t="shared" si="2"/>
        <v>3.4129736201492386E-2</v>
      </c>
      <c r="I15" s="11" t="s">
        <v>1005</v>
      </c>
      <c r="J15" s="11" t="s">
        <v>989</v>
      </c>
      <c r="K15" s="15">
        <v>30001</v>
      </c>
      <c r="L15" s="15">
        <v>0</v>
      </c>
      <c r="M15" s="15">
        <v>71000</v>
      </c>
      <c r="N15" s="15">
        <v>7164</v>
      </c>
      <c r="O15" s="15">
        <f t="shared" si="0"/>
        <v>33835</v>
      </c>
      <c r="P15" s="15">
        <f t="shared" si="1"/>
        <v>0</v>
      </c>
    </row>
    <row r="16" spans="2:16" x14ac:dyDescent="0.25">
      <c r="B16" s="226" t="s">
        <v>48</v>
      </c>
      <c r="C16" s="260">
        <f>C17+C18</f>
        <v>9031987</v>
      </c>
      <c r="D16" s="271">
        <f ca="1">C16/$C$32</f>
        <v>0.3738429818308821</v>
      </c>
      <c r="E16" s="50"/>
      <c r="F16" s="251"/>
      <c r="G16" s="270"/>
      <c r="I16" s="11" t="s">
        <v>1005</v>
      </c>
      <c r="J16" s="11" t="s">
        <v>990</v>
      </c>
      <c r="K16" s="15">
        <v>30001</v>
      </c>
      <c r="L16" s="15">
        <v>0</v>
      </c>
      <c r="M16" s="15">
        <v>75001</v>
      </c>
      <c r="N16" s="15">
        <v>8220</v>
      </c>
      <c r="O16" s="15">
        <f t="shared" si="0"/>
        <v>36780</v>
      </c>
      <c r="P16" s="15">
        <f t="shared" si="1"/>
        <v>0</v>
      </c>
    </row>
    <row r="17" spans="2:16" x14ac:dyDescent="0.25">
      <c r="B17" s="231" t="s">
        <v>48</v>
      </c>
      <c r="C17" s="232">
        <f>SUM(M3:M128)</f>
        <v>9811000</v>
      </c>
      <c r="D17" s="272">
        <f ca="1">C17/$C$32</f>
        <v>0.406087109596458</v>
      </c>
      <c r="E17" s="255" t="s">
        <v>1034</v>
      </c>
      <c r="F17" s="285">
        <f>F18+F19</f>
        <v>9785333</v>
      </c>
      <c r="G17" s="271">
        <f>F17/$F$32</f>
        <v>0.40502472677696844</v>
      </c>
      <c r="I17" s="11" t="s">
        <v>1005</v>
      </c>
      <c r="J17" s="11" t="s">
        <v>991</v>
      </c>
      <c r="K17" s="15">
        <v>30001</v>
      </c>
      <c r="L17" s="15">
        <v>0</v>
      </c>
      <c r="M17" s="15">
        <v>61000</v>
      </c>
      <c r="N17" s="15">
        <v>6362</v>
      </c>
      <c r="O17" s="15">
        <f t="shared" si="0"/>
        <v>24637</v>
      </c>
      <c r="P17" s="15">
        <f t="shared" si="1"/>
        <v>0</v>
      </c>
    </row>
    <row r="18" spans="2:16" x14ac:dyDescent="0.25">
      <c r="B18" s="245" t="s">
        <v>5</v>
      </c>
      <c r="C18" s="248">
        <f>SUM(N3:N60)*-1</f>
        <v>-779013</v>
      </c>
      <c r="D18" s="272">
        <f ca="1">C18/$C$32</f>
        <v>-3.224412776557594E-2</v>
      </c>
      <c r="E18" s="277" t="s">
        <v>50</v>
      </c>
      <c r="F18" s="286">
        <f>EconomiaT37!C19</f>
        <v>9836123</v>
      </c>
      <c r="G18" s="272">
        <f>F18/$F$32</f>
        <v>0.40712697571147094</v>
      </c>
      <c r="I18" s="11" t="s">
        <v>1004</v>
      </c>
      <c r="J18" s="11" t="s">
        <v>993</v>
      </c>
      <c r="K18" s="15">
        <v>312000</v>
      </c>
      <c r="L18" s="15">
        <v>0</v>
      </c>
      <c r="M18" s="15">
        <v>0</v>
      </c>
      <c r="N18" s="15">
        <v>0</v>
      </c>
      <c r="O18" s="15">
        <f t="shared" si="0"/>
        <v>0</v>
      </c>
      <c r="P18" s="15">
        <f t="shared" si="1"/>
        <v>312000</v>
      </c>
    </row>
    <row r="19" spans="2:16" x14ac:dyDescent="0.25">
      <c r="B19" s="235"/>
      <c r="C19" s="236"/>
      <c r="D19" s="272"/>
      <c r="E19" s="252" t="s">
        <v>1140</v>
      </c>
      <c r="F19" s="284">
        <f>SUM(L3:L59)*-1</f>
        <v>-50790</v>
      </c>
      <c r="G19" s="272">
        <f>F19/$F$32</f>
        <v>-2.1022489345025076E-3</v>
      </c>
      <c r="I19" s="11" t="s">
        <v>1004</v>
      </c>
      <c r="J19" s="11" t="s">
        <v>996</v>
      </c>
      <c r="K19" s="15">
        <v>543000</v>
      </c>
      <c r="L19" s="15">
        <v>0</v>
      </c>
      <c r="M19" s="15">
        <v>900000</v>
      </c>
      <c r="N19" s="15">
        <v>63630</v>
      </c>
      <c r="O19" s="15">
        <f t="shared" si="0"/>
        <v>293370</v>
      </c>
      <c r="P19" s="15">
        <f t="shared" si="1"/>
        <v>0</v>
      </c>
    </row>
    <row r="20" spans="2:16" x14ac:dyDescent="0.25">
      <c r="B20" s="235"/>
      <c r="C20" s="236"/>
      <c r="D20" s="271"/>
      <c r="E20" s="255"/>
      <c r="F20" s="281"/>
      <c r="G20" s="271"/>
      <c r="I20" s="11" t="s">
        <v>1006</v>
      </c>
      <c r="J20" s="11" t="s">
        <v>1009</v>
      </c>
      <c r="K20" s="15">
        <v>6001</v>
      </c>
      <c r="L20" s="15">
        <v>0</v>
      </c>
      <c r="M20" s="15">
        <v>0</v>
      </c>
      <c r="N20" s="15">
        <v>0</v>
      </c>
      <c r="O20" s="15">
        <f t="shared" si="0"/>
        <v>0</v>
      </c>
      <c r="P20" s="15">
        <f t="shared" si="1"/>
        <v>6001</v>
      </c>
    </row>
    <row r="21" spans="2:16" x14ac:dyDescent="0.25">
      <c r="B21" s="226" t="s">
        <v>1031</v>
      </c>
      <c r="C21" s="242">
        <f>SUM(C22:C26)</f>
        <v>2595023</v>
      </c>
      <c r="D21" s="271">
        <f t="shared" ref="D21:D26" ca="1" si="3">C21/$C$32</f>
        <v>0.10741059926677497</v>
      </c>
      <c r="E21" s="255" t="s">
        <v>1032</v>
      </c>
      <c r="F21" s="281">
        <f>SUM(F22:F28)</f>
        <v>1770454</v>
      </c>
      <c r="G21" s="271">
        <f t="shared" ref="G21:G27" si="4">F21/$F$32</f>
        <v>7.3280863065282587E-2</v>
      </c>
      <c r="I21" s="11" t="s">
        <v>1006</v>
      </c>
      <c r="J21" s="11" t="s">
        <v>1010</v>
      </c>
      <c r="K21" s="15">
        <v>320000</v>
      </c>
      <c r="L21" s="15">
        <v>0</v>
      </c>
      <c r="M21" s="15">
        <v>225000</v>
      </c>
      <c r="N21" s="15">
        <v>15750</v>
      </c>
      <c r="O21" s="15">
        <f t="shared" si="0"/>
        <v>-110750</v>
      </c>
      <c r="P21" s="15">
        <f t="shared" si="1"/>
        <v>0</v>
      </c>
    </row>
    <row r="22" spans="2:16" x14ac:dyDescent="0.25">
      <c r="B22" s="233" t="s">
        <v>42</v>
      </c>
      <c r="C22" s="234">
        <f>EconomiaT37!C11</f>
        <v>40860</v>
      </c>
      <c r="D22" s="272">
        <f t="shared" ca="1" si="3"/>
        <v>1.6912362958017811E-3</v>
      </c>
      <c r="E22" s="277" t="s">
        <v>882</v>
      </c>
      <c r="F22" s="287">
        <f>EconomiaT37!C14</f>
        <v>685414</v>
      </c>
      <c r="G22" s="272">
        <f t="shared" si="4"/>
        <v>2.8369971474563927E-2</v>
      </c>
      <c r="I22" s="11" t="s">
        <v>1004</v>
      </c>
      <c r="J22" s="11" t="s">
        <v>1011</v>
      </c>
      <c r="K22" s="15">
        <v>57600</v>
      </c>
      <c r="L22" s="15">
        <v>0</v>
      </c>
      <c r="M22" s="15">
        <v>699111</v>
      </c>
      <c r="N22" s="15">
        <v>48938</v>
      </c>
      <c r="O22" s="15">
        <f t="shared" si="0"/>
        <v>592573</v>
      </c>
      <c r="P22" s="15">
        <f t="shared" si="1"/>
        <v>0</v>
      </c>
    </row>
    <row r="23" spans="2:16" x14ac:dyDescent="0.25">
      <c r="B23" s="233" t="s">
        <v>51</v>
      </c>
      <c r="C23" s="234">
        <f>EconomiaT37!C12</f>
        <v>45000</v>
      </c>
      <c r="D23" s="272">
        <f t="shared" ca="1" si="3"/>
        <v>1.8625950394292744E-3</v>
      </c>
      <c r="E23" s="277" t="s">
        <v>29</v>
      </c>
      <c r="F23" s="287">
        <f>EconomiaT37!C15</f>
        <v>205240</v>
      </c>
      <c r="G23" s="272">
        <f t="shared" si="4"/>
        <v>8.4950890198325392E-3</v>
      </c>
      <c r="I23" s="11" t="s">
        <v>1004</v>
      </c>
      <c r="J23" s="11" t="s">
        <v>1012</v>
      </c>
      <c r="K23" s="15">
        <v>72001</v>
      </c>
      <c r="L23" s="15">
        <v>0</v>
      </c>
      <c r="M23" s="15">
        <v>945111</v>
      </c>
      <c r="N23" s="15">
        <f>M23-878953</f>
        <v>66158</v>
      </c>
      <c r="O23" s="15">
        <f t="shared" si="0"/>
        <v>806952</v>
      </c>
      <c r="P23" s="15">
        <f t="shared" si="1"/>
        <v>0</v>
      </c>
    </row>
    <row r="24" spans="2:16" x14ac:dyDescent="0.25">
      <c r="B24" s="233" t="s">
        <v>0</v>
      </c>
      <c r="C24" s="234">
        <f>EconomiaT37!C6</f>
        <v>1478848</v>
      </c>
      <c r="D24" s="272">
        <f t="shared" ca="1" si="3"/>
        <v>6.1210998863775637E-2</v>
      </c>
      <c r="E24" s="277" t="s">
        <v>6</v>
      </c>
      <c r="F24" s="287">
        <f>EconomiaT37!C17</f>
        <v>475200</v>
      </c>
      <c r="G24" s="272">
        <f t="shared" si="4"/>
        <v>1.9669003616373137E-2</v>
      </c>
      <c r="I24" s="11" t="s">
        <v>1004</v>
      </c>
      <c r="J24" s="11" t="s">
        <v>1014</v>
      </c>
      <c r="K24" s="15">
        <v>49001</v>
      </c>
      <c r="L24" s="15">
        <v>0</v>
      </c>
      <c r="M24" s="15">
        <v>639111</v>
      </c>
      <c r="N24" s="15">
        <v>44738</v>
      </c>
      <c r="O24" s="15">
        <f t="shared" si="0"/>
        <v>545372</v>
      </c>
      <c r="P24" s="15">
        <f t="shared" si="1"/>
        <v>0</v>
      </c>
    </row>
    <row r="25" spans="2:16" x14ac:dyDescent="0.25">
      <c r="B25" s="233" t="s">
        <v>2</v>
      </c>
      <c r="C25" s="234">
        <f>EconomiaT37!C7</f>
        <v>925025</v>
      </c>
      <c r="D25" s="272">
        <f t="shared" ca="1" si="3"/>
        <v>3.8287710585512544E-2</v>
      </c>
      <c r="E25" s="277" t="s">
        <v>8</v>
      </c>
      <c r="F25" s="287">
        <f>EconomiaT37!C18</f>
        <v>320000</v>
      </c>
      <c r="G25" s="272">
        <f t="shared" si="4"/>
        <v>1.3245120280385951E-2</v>
      </c>
      <c r="I25" s="11" t="s">
        <v>1004</v>
      </c>
      <c r="J25" s="11" t="s">
        <v>1015</v>
      </c>
      <c r="K25" s="15">
        <v>101001</v>
      </c>
      <c r="L25" s="15">
        <v>0</v>
      </c>
      <c r="M25" s="15">
        <v>0</v>
      </c>
      <c r="N25" s="15">
        <v>0</v>
      </c>
      <c r="O25" s="15">
        <f t="shared" si="0"/>
        <v>0</v>
      </c>
      <c r="P25" s="15">
        <f t="shared" si="1"/>
        <v>101001</v>
      </c>
    </row>
    <row r="26" spans="2:16" x14ac:dyDescent="0.25">
      <c r="B26" s="233" t="s">
        <v>5</v>
      </c>
      <c r="C26" s="234">
        <f>EconomiaT37!C10</f>
        <v>105290</v>
      </c>
      <c r="D26" s="272">
        <f t="shared" ca="1" si="3"/>
        <v>4.3580584822557403E-3</v>
      </c>
      <c r="E26" s="277" t="s">
        <v>818</v>
      </c>
      <c r="F26" s="287">
        <f>EconomiaT37!C21</f>
        <v>84600</v>
      </c>
      <c r="G26" s="272">
        <f t="shared" si="4"/>
        <v>3.5016786741270357E-3</v>
      </c>
      <c r="I26" s="11" t="s">
        <v>1004</v>
      </c>
      <c r="J26" s="11" t="s">
        <v>1037</v>
      </c>
      <c r="K26" s="15">
        <v>57600</v>
      </c>
      <c r="L26" s="15">
        <v>0</v>
      </c>
      <c r="M26" s="15">
        <v>812000</v>
      </c>
      <c r="N26" s="15">
        <v>56840</v>
      </c>
      <c r="O26" s="15">
        <f t="shared" si="0"/>
        <v>697560</v>
      </c>
      <c r="P26" s="15">
        <f t="shared" si="1"/>
        <v>0</v>
      </c>
    </row>
    <row r="27" spans="2:16" x14ac:dyDescent="0.25">
      <c r="B27" s="226"/>
      <c r="C27" s="242"/>
      <c r="D27" s="271"/>
      <c r="E27" s="277" t="s">
        <v>10</v>
      </c>
      <c r="F27" s="287">
        <f>EconomiaT37!C22</f>
        <v>0</v>
      </c>
      <c r="G27" s="272">
        <f t="shared" si="4"/>
        <v>0</v>
      </c>
      <c r="I27" s="11" t="s">
        <v>1006</v>
      </c>
      <c r="J27" s="11" t="s">
        <v>881</v>
      </c>
      <c r="K27" s="15">
        <v>0</v>
      </c>
      <c r="L27" s="15">
        <v>0</v>
      </c>
      <c r="M27" s="15">
        <v>0</v>
      </c>
      <c r="N27" s="15">
        <v>0</v>
      </c>
      <c r="O27" s="15">
        <f t="shared" si="0"/>
        <v>0</v>
      </c>
      <c r="P27" s="15">
        <f t="shared" si="1"/>
        <v>0</v>
      </c>
    </row>
    <row r="28" spans="2:16" x14ac:dyDescent="0.25">
      <c r="B28" s="226" t="s">
        <v>1200</v>
      </c>
      <c r="C28" s="242">
        <f>EconomiaT37!C5</f>
        <v>894221</v>
      </c>
      <c r="D28" s="304">
        <f ca="1">C28/$C$32</f>
        <v>3.7012702194521893E-2</v>
      </c>
      <c r="E28" s="228"/>
      <c r="F28" s="227"/>
      <c r="G28" s="305"/>
      <c r="I28" s="11" t="s">
        <v>1004</v>
      </c>
      <c r="J28" s="11" t="s">
        <v>1017</v>
      </c>
      <c r="K28" s="15">
        <v>0</v>
      </c>
      <c r="L28" s="15">
        <v>0</v>
      </c>
      <c r="M28" s="15">
        <v>0</v>
      </c>
      <c r="N28" s="15">
        <v>0</v>
      </c>
      <c r="O28" s="15">
        <f t="shared" si="0"/>
        <v>0</v>
      </c>
      <c r="P28" s="15">
        <f t="shared" si="1"/>
        <v>0</v>
      </c>
    </row>
    <row r="29" spans="2:16" x14ac:dyDescent="0.25">
      <c r="B29" s="226"/>
      <c r="C29" s="242"/>
      <c r="D29" s="304"/>
      <c r="E29" s="226" t="s">
        <v>30</v>
      </c>
      <c r="F29" s="281">
        <f>F30</f>
        <v>803415</v>
      </c>
      <c r="G29" s="271">
        <f>F29/F32</f>
        <v>3.3254150968957119E-2</v>
      </c>
      <c r="I29" s="11" t="s">
        <v>1003</v>
      </c>
      <c r="J29" s="11" t="s">
        <v>1018</v>
      </c>
      <c r="K29" s="15">
        <v>0</v>
      </c>
      <c r="L29" s="15">
        <v>0</v>
      </c>
      <c r="M29" s="15">
        <v>1000</v>
      </c>
      <c r="N29" s="15">
        <v>50</v>
      </c>
      <c r="O29" s="15">
        <f t="shared" si="0"/>
        <v>950</v>
      </c>
      <c r="P29" s="15">
        <f t="shared" si="1"/>
        <v>0</v>
      </c>
    </row>
    <row r="30" spans="2:16" x14ac:dyDescent="0.25">
      <c r="B30" s="226"/>
      <c r="C30" s="242"/>
      <c r="D30" s="304"/>
      <c r="E30" s="307" t="s">
        <v>1240</v>
      </c>
      <c r="F30" s="287">
        <f>EconomiaT37!C16</f>
        <v>803415</v>
      </c>
      <c r="G30" s="272">
        <f>F30/F32</f>
        <v>3.3254150968957119E-2</v>
      </c>
      <c r="I30" s="11" t="s">
        <v>1004</v>
      </c>
      <c r="J30" s="11" t="s">
        <v>1019</v>
      </c>
      <c r="K30" s="15">
        <v>0</v>
      </c>
      <c r="L30" s="15">
        <v>0</v>
      </c>
      <c r="M30" s="15">
        <v>0</v>
      </c>
      <c r="N30" s="15">
        <v>0</v>
      </c>
      <c r="O30" s="15">
        <f t="shared" si="0"/>
        <v>0</v>
      </c>
      <c r="P30" s="15">
        <f t="shared" si="1"/>
        <v>0</v>
      </c>
    </row>
    <row r="31" spans="2:16" x14ac:dyDescent="0.25">
      <c r="B31" s="230"/>
      <c r="C31" s="229"/>
      <c r="D31" s="304"/>
      <c r="E31" s="230"/>
      <c r="F31" s="229"/>
      <c r="G31" s="306"/>
      <c r="I31" s="11" t="s">
        <v>1004</v>
      </c>
      <c r="J31" s="11" t="s">
        <v>1020</v>
      </c>
      <c r="K31" s="15">
        <v>0</v>
      </c>
      <c r="L31" s="15">
        <v>0</v>
      </c>
      <c r="M31" s="15">
        <v>0</v>
      </c>
      <c r="N31" s="15">
        <v>0</v>
      </c>
      <c r="O31" s="15">
        <f t="shared" si="0"/>
        <v>0</v>
      </c>
      <c r="P31" s="15">
        <f t="shared" si="1"/>
        <v>0</v>
      </c>
    </row>
    <row r="32" spans="2:16" ht="18.75" x14ac:dyDescent="0.3">
      <c r="B32" s="239" t="s">
        <v>291</v>
      </c>
      <c r="C32" s="240">
        <f ca="1">C21+C16+C10+C5+C28</f>
        <v>24159841</v>
      </c>
      <c r="D32" s="43">
        <f ca="1">C32/$C$32</f>
        <v>1</v>
      </c>
      <c r="E32" s="241" t="s">
        <v>291</v>
      </c>
      <c r="F32" s="240">
        <f>F21+F17+F10+F5+F29</f>
        <v>24159841</v>
      </c>
      <c r="G32" s="43">
        <f>F32/$F$32</f>
        <v>1</v>
      </c>
      <c r="I32" s="11" t="s">
        <v>1004</v>
      </c>
      <c r="J32" s="34" t="s">
        <v>1039</v>
      </c>
      <c r="K32" s="15">
        <v>500000</v>
      </c>
      <c r="L32" s="15">
        <v>0</v>
      </c>
      <c r="M32" s="15">
        <v>0</v>
      </c>
      <c r="N32" s="15">
        <v>0</v>
      </c>
      <c r="O32" s="15">
        <f t="shared" si="0"/>
        <v>0</v>
      </c>
      <c r="P32" s="15">
        <f t="shared" si="1"/>
        <v>500000</v>
      </c>
    </row>
    <row r="33" spans="2:16" x14ac:dyDescent="0.25">
      <c r="I33" s="34" t="s">
        <v>1006</v>
      </c>
      <c r="J33" s="34" t="s">
        <v>1138</v>
      </c>
      <c r="K33" s="278">
        <v>775000</v>
      </c>
      <c r="L33" s="15">
        <v>1884</v>
      </c>
      <c r="M33" s="278">
        <v>849000</v>
      </c>
      <c r="N33" s="15">
        <f>M33-778278</f>
        <v>70722</v>
      </c>
      <c r="O33" s="15">
        <f t="shared" si="0"/>
        <v>3278</v>
      </c>
      <c r="P33" s="15">
        <f t="shared" si="1"/>
        <v>0</v>
      </c>
    </row>
    <row r="34" spans="2:16" x14ac:dyDescent="0.25">
      <c r="F34" s="225">
        <f ca="1">F32-C32</f>
        <v>0</v>
      </c>
      <c r="I34" s="11" t="s">
        <v>1004</v>
      </c>
      <c r="J34" s="11" t="s">
        <v>1142</v>
      </c>
      <c r="K34" s="15">
        <v>555111</v>
      </c>
      <c r="L34" s="15">
        <v>1284</v>
      </c>
      <c r="M34" s="15">
        <v>1000000</v>
      </c>
      <c r="N34" s="15">
        <v>75400</v>
      </c>
      <c r="O34" s="15">
        <f t="shared" si="0"/>
        <v>369489</v>
      </c>
      <c r="P34" s="15">
        <f t="shared" si="1"/>
        <v>0</v>
      </c>
    </row>
    <row r="35" spans="2:16" x14ac:dyDescent="0.25">
      <c r="I35" s="11" t="s">
        <v>1006</v>
      </c>
      <c r="J35" s="11" t="s">
        <v>1143</v>
      </c>
      <c r="K35" s="15">
        <v>628111</v>
      </c>
      <c r="L35" s="15">
        <v>7020</v>
      </c>
      <c r="M35" s="15">
        <v>0</v>
      </c>
      <c r="N35" s="15">
        <v>0</v>
      </c>
      <c r="O35" s="15">
        <f t="shared" si="0"/>
        <v>0</v>
      </c>
      <c r="P35" s="15">
        <f t="shared" si="1"/>
        <v>628111</v>
      </c>
    </row>
    <row r="36" spans="2:16" x14ac:dyDescent="0.25">
      <c r="I36" s="11" t="s">
        <v>1006</v>
      </c>
      <c r="J36" s="11" t="s">
        <v>1145</v>
      </c>
      <c r="K36" s="15">
        <v>0</v>
      </c>
      <c r="L36" s="15">
        <v>0</v>
      </c>
      <c r="M36" s="15">
        <v>0</v>
      </c>
      <c r="N36" s="15">
        <v>0</v>
      </c>
      <c r="O36" s="15">
        <f t="shared" si="0"/>
        <v>0</v>
      </c>
      <c r="P36" s="15">
        <f t="shared" si="1"/>
        <v>0</v>
      </c>
    </row>
    <row r="37" spans="2:16" x14ac:dyDescent="0.25">
      <c r="H37" s="225"/>
      <c r="I37" s="11" t="s">
        <v>1006</v>
      </c>
      <c r="J37" s="11" t="s">
        <v>1146</v>
      </c>
      <c r="K37" s="15">
        <v>200000</v>
      </c>
      <c r="L37" s="15">
        <v>1908</v>
      </c>
      <c r="M37" s="15">
        <v>0</v>
      </c>
      <c r="N37" s="15">
        <v>0</v>
      </c>
      <c r="O37" s="15">
        <f t="shared" si="0"/>
        <v>0</v>
      </c>
      <c r="P37" s="15">
        <f t="shared" si="1"/>
        <v>200000</v>
      </c>
    </row>
    <row r="38" spans="2:16" x14ac:dyDescent="0.25">
      <c r="C38" s="62"/>
      <c r="I38" s="11" t="s">
        <v>1006</v>
      </c>
      <c r="J38" s="11" t="s">
        <v>1189</v>
      </c>
      <c r="K38" s="15">
        <v>981000</v>
      </c>
      <c r="L38" s="15">
        <v>2290</v>
      </c>
      <c r="M38" s="15">
        <v>1249111</v>
      </c>
      <c r="N38" s="15">
        <v>144522</v>
      </c>
      <c r="O38" s="15">
        <f t="shared" si="0"/>
        <v>123589</v>
      </c>
      <c r="P38" s="15">
        <f t="shared" si="1"/>
        <v>0</v>
      </c>
    </row>
    <row r="39" spans="2:16" x14ac:dyDescent="0.25">
      <c r="E39" s="225"/>
      <c r="I39" s="11" t="s">
        <v>1198</v>
      </c>
      <c r="J39" s="11" t="s">
        <v>1199</v>
      </c>
      <c r="K39" s="15">
        <v>47000</v>
      </c>
      <c r="L39" s="15">
        <v>300</v>
      </c>
      <c r="M39" s="15">
        <v>0</v>
      </c>
      <c r="N39" s="15">
        <v>0</v>
      </c>
      <c r="O39" s="15">
        <f t="shared" si="0"/>
        <v>0</v>
      </c>
      <c r="P39" s="15">
        <f t="shared" si="1"/>
        <v>47000</v>
      </c>
    </row>
    <row r="40" spans="2:16" x14ac:dyDescent="0.25">
      <c r="I40" s="11" t="s">
        <v>1004</v>
      </c>
      <c r="J40" s="11" t="s">
        <v>1209</v>
      </c>
      <c r="K40" s="15">
        <v>612000</v>
      </c>
      <c r="L40" s="15">
        <v>2412</v>
      </c>
      <c r="M40" s="15">
        <v>0</v>
      </c>
      <c r="N40" s="15">
        <v>0</v>
      </c>
      <c r="O40" s="15">
        <f t="shared" si="0"/>
        <v>0</v>
      </c>
      <c r="P40" s="15">
        <f t="shared" si="1"/>
        <v>612000</v>
      </c>
    </row>
    <row r="41" spans="2:16" x14ac:dyDescent="0.25">
      <c r="I41" s="11" t="s">
        <v>1006</v>
      </c>
      <c r="J41" s="11" t="s">
        <v>1210</v>
      </c>
      <c r="K41" s="15">
        <v>150001</v>
      </c>
      <c r="L41" s="15">
        <v>2892</v>
      </c>
      <c r="M41" s="15">
        <v>0</v>
      </c>
      <c r="N41" s="15">
        <v>0</v>
      </c>
      <c r="O41" s="15">
        <f t="shared" si="0"/>
        <v>0</v>
      </c>
      <c r="P41" s="15">
        <f t="shared" si="1"/>
        <v>150001</v>
      </c>
    </row>
    <row r="42" spans="2:16" x14ac:dyDescent="0.25">
      <c r="B42" s="225"/>
      <c r="I42" s="11" t="s">
        <v>1006</v>
      </c>
      <c r="J42" s="11" t="s">
        <v>1213</v>
      </c>
      <c r="K42" s="15">
        <v>1150000</v>
      </c>
      <c r="L42" s="15">
        <v>4488</v>
      </c>
      <c r="M42" s="15">
        <v>0</v>
      </c>
      <c r="N42" s="15">
        <v>0</v>
      </c>
      <c r="O42" s="15">
        <f t="shared" si="0"/>
        <v>0</v>
      </c>
      <c r="P42" s="15">
        <f t="shared" si="1"/>
        <v>1150000</v>
      </c>
    </row>
    <row r="43" spans="2:16" x14ac:dyDescent="0.25">
      <c r="I43" s="11" t="s">
        <v>1006</v>
      </c>
      <c r="J43" s="11" t="s">
        <v>1217</v>
      </c>
      <c r="K43" s="15">
        <v>275000</v>
      </c>
      <c r="L43" s="15">
        <v>2352</v>
      </c>
      <c r="M43" s="15">
        <v>0</v>
      </c>
      <c r="N43" s="15">
        <v>0</v>
      </c>
      <c r="O43" s="15">
        <f t="shared" si="0"/>
        <v>0</v>
      </c>
      <c r="P43" s="15">
        <f t="shared" si="1"/>
        <v>275000</v>
      </c>
    </row>
    <row r="44" spans="2:16" x14ac:dyDescent="0.25">
      <c r="I44" s="11" t="s">
        <v>1003</v>
      </c>
      <c r="J44" s="11" t="s">
        <v>1218</v>
      </c>
      <c r="K44" s="15">
        <v>0</v>
      </c>
      <c r="L44" s="15">
        <v>0</v>
      </c>
      <c r="M44" s="15">
        <v>6000</v>
      </c>
      <c r="N44" s="15">
        <v>300</v>
      </c>
      <c r="O44" s="15">
        <f t="shared" si="0"/>
        <v>5700</v>
      </c>
      <c r="P44" s="15">
        <f t="shared" si="1"/>
        <v>0</v>
      </c>
    </row>
    <row r="45" spans="2:16" x14ac:dyDescent="0.25">
      <c r="E45" s="225"/>
      <c r="I45" s="11" t="s">
        <v>1004</v>
      </c>
      <c r="J45" s="11" t="s">
        <v>1219</v>
      </c>
      <c r="K45" s="15">
        <v>595111</v>
      </c>
      <c r="L45" s="15">
        <v>1884</v>
      </c>
      <c r="M45" s="15">
        <v>0</v>
      </c>
      <c r="N45" s="15">
        <v>0</v>
      </c>
      <c r="O45" s="15">
        <f t="shared" si="0"/>
        <v>0</v>
      </c>
      <c r="P45" s="15">
        <f t="shared" si="1"/>
        <v>595111</v>
      </c>
    </row>
    <row r="46" spans="2:16" x14ac:dyDescent="0.25">
      <c r="I46" s="11" t="s">
        <v>1003</v>
      </c>
      <c r="J46" s="11" t="s">
        <v>1220</v>
      </c>
      <c r="K46" s="15">
        <v>0</v>
      </c>
      <c r="L46" s="15">
        <v>0</v>
      </c>
      <c r="M46" s="15">
        <v>15000</v>
      </c>
      <c r="N46" s="15">
        <f>750</f>
        <v>750</v>
      </c>
      <c r="O46" s="15">
        <f t="shared" si="0"/>
        <v>14250</v>
      </c>
      <c r="P46" s="15">
        <f t="shared" si="1"/>
        <v>0</v>
      </c>
    </row>
    <row r="47" spans="2:16" x14ac:dyDescent="0.25">
      <c r="I47" s="11" t="s">
        <v>1003</v>
      </c>
      <c r="J47" s="11" t="s">
        <v>1020</v>
      </c>
      <c r="K47" s="15">
        <v>0</v>
      </c>
      <c r="L47" s="15">
        <v>0</v>
      </c>
      <c r="M47" s="15">
        <v>61000</v>
      </c>
      <c r="N47" s="15">
        <f>M47-57950</f>
        <v>3050</v>
      </c>
      <c r="O47" s="15">
        <f t="shared" si="0"/>
        <v>57950</v>
      </c>
      <c r="P47" s="15">
        <f t="shared" si="1"/>
        <v>0</v>
      </c>
    </row>
    <row r="48" spans="2:16" x14ac:dyDescent="0.25">
      <c r="I48" s="11" t="s">
        <v>1006</v>
      </c>
      <c r="J48" s="11" t="s">
        <v>1221</v>
      </c>
      <c r="K48" s="15">
        <v>555000</v>
      </c>
      <c r="L48" s="15">
        <v>4704</v>
      </c>
      <c r="M48" s="15">
        <v>0</v>
      </c>
      <c r="N48" s="15">
        <v>0</v>
      </c>
      <c r="O48" s="15">
        <v>0</v>
      </c>
      <c r="P48" s="15">
        <f t="shared" si="1"/>
        <v>555000</v>
      </c>
    </row>
    <row r="49" spans="9:16" x14ac:dyDescent="0.25">
      <c r="I49" s="11" t="s">
        <v>1003</v>
      </c>
      <c r="J49" s="11" t="s">
        <v>1222</v>
      </c>
      <c r="K49" s="15">
        <v>0</v>
      </c>
      <c r="L49" s="15">
        <v>0</v>
      </c>
      <c r="M49" s="15">
        <v>131000</v>
      </c>
      <c r="N49" s="15">
        <v>6550</v>
      </c>
      <c r="O49" s="15">
        <f t="shared" si="0"/>
        <v>124450</v>
      </c>
      <c r="P49" s="15">
        <f t="shared" si="1"/>
        <v>0</v>
      </c>
    </row>
    <row r="50" spans="9:16" x14ac:dyDescent="0.25">
      <c r="I50" s="11" t="s">
        <v>1006</v>
      </c>
      <c r="J50" s="11" t="s">
        <v>722</v>
      </c>
      <c r="K50" s="15">
        <v>2000</v>
      </c>
      <c r="L50" s="15">
        <v>350</v>
      </c>
      <c r="M50" s="15">
        <v>2000</v>
      </c>
      <c r="N50" s="15">
        <v>262</v>
      </c>
      <c r="O50" s="15">
        <f t="shared" si="0"/>
        <v>-262</v>
      </c>
      <c r="P50" s="15">
        <f t="shared" si="1"/>
        <v>0</v>
      </c>
    </row>
    <row r="51" spans="9:16" x14ac:dyDescent="0.25">
      <c r="I51" s="11" t="s">
        <v>1004</v>
      </c>
      <c r="J51" s="11" t="s">
        <v>1223</v>
      </c>
      <c r="K51" s="15">
        <v>435000</v>
      </c>
      <c r="L51" s="15">
        <v>2292</v>
      </c>
      <c r="M51" s="15">
        <v>0</v>
      </c>
      <c r="N51" s="15">
        <v>0</v>
      </c>
      <c r="O51" s="15">
        <f t="shared" si="0"/>
        <v>0</v>
      </c>
      <c r="P51" s="15">
        <f t="shared" si="1"/>
        <v>435000</v>
      </c>
    </row>
    <row r="52" spans="9:16" x14ac:dyDescent="0.25">
      <c r="I52" s="11" t="s">
        <v>1006</v>
      </c>
      <c r="J52" s="11" t="s">
        <v>1224</v>
      </c>
      <c r="K52" s="15">
        <v>499999</v>
      </c>
      <c r="L52" s="15">
        <v>5772</v>
      </c>
      <c r="M52" s="15">
        <v>0</v>
      </c>
      <c r="N52" s="15">
        <v>0</v>
      </c>
      <c r="O52" s="15">
        <f t="shared" si="0"/>
        <v>0</v>
      </c>
      <c r="P52" s="15">
        <f t="shared" si="1"/>
        <v>499999</v>
      </c>
    </row>
    <row r="53" spans="9:16" x14ac:dyDescent="0.25">
      <c r="I53" s="11" t="s">
        <v>1004</v>
      </c>
      <c r="J53" s="11" t="s">
        <v>1244</v>
      </c>
      <c r="K53" s="15">
        <v>875000</v>
      </c>
      <c r="L53" s="15">
        <v>4668</v>
      </c>
      <c r="M53" s="15">
        <v>0</v>
      </c>
      <c r="N53" s="15">
        <v>0</v>
      </c>
      <c r="O53" s="15">
        <f t="shared" si="0"/>
        <v>0</v>
      </c>
      <c r="P53" s="15">
        <f t="shared" si="1"/>
        <v>875000</v>
      </c>
    </row>
    <row r="54" spans="9:16" x14ac:dyDescent="0.25">
      <c r="I54" s="11" t="s">
        <v>1006</v>
      </c>
      <c r="J54" s="11" t="s">
        <v>1243</v>
      </c>
      <c r="K54" s="15">
        <v>1450000</v>
      </c>
      <c r="L54" s="15">
        <v>4290</v>
      </c>
      <c r="M54" s="15">
        <v>0</v>
      </c>
      <c r="N54" s="15">
        <v>0</v>
      </c>
      <c r="O54" s="15">
        <f t="shared" si="0"/>
        <v>0</v>
      </c>
      <c r="P54" s="15">
        <f t="shared" si="1"/>
        <v>1450000</v>
      </c>
    </row>
    <row r="55" spans="9:16" x14ac:dyDescent="0.25">
      <c r="I55" s="11"/>
      <c r="J55" s="11"/>
      <c r="K55" s="15"/>
      <c r="L55" s="15"/>
      <c r="M55" s="15"/>
      <c r="N55" s="15"/>
      <c r="O55" s="15"/>
      <c r="P55" s="15"/>
    </row>
    <row r="56" spans="9:16" x14ac:dyDescent="0.25">
      <c r="I56" s="11"/>
      <c r="J56" s="11"/>
      <c r="K56" s="15"/>
      <c r="L56" s="15"/>
      <c r="M56" s="15"/>
      <c r="N56" s="15"/>
      <c r="O56" s="15"/>
      <c r="P56" s="15"/>
    </row>
    <row r="57" spans="9:16" x14ac:dyDescent="0.25">
      <c r="I57" s="11"/>
      <c r="J57" s="11"/>
      <c r="K57" s="15"/>
      <c r="L57" s="15"/>
      <c r="M57" s="15"/>
      <c r="N57" s="15"/>
      <c r="O57" s="15"/>
      <c r="P57" s="15"/>
    </row>
    <row r="58" spans="9:16" x14ac:dyDescent="0.25">
      <c r="I58" s="11"/>
      <c r="J58" s="11"/>
      <c r="K58" s="15"/>
      <c r="L58" s="15"/>
      <c r="M58" s="15"/>
      <c r="N58" s="15"/>
      <c r="O58" s="15"/>
      <c r="P58" s="15"/>
    </row>
    <row r="59" spans="9:16" x14ac:dyDescent="0.25">
      <c r="I59" s="11"/>
      <c r="J59" s="11"/>
      <c r="K59" s="15"/>
      <c r="L59" s="15"/>
      <c r="M59" s="15"/>
      <c r="N59" s="15"/>
      <c r="O59" s="15"/>
      <c r="P59" s="15"/>
    </row>
  </sheetData>
  <autoFilter ref="I2:P54"/>
  <sortState ref="I3:Q61">
    <sortCondition ref="O3:O61"/>
  </sortState>
  <mergeCells count="5">
    <mergeCell ref="B1:F1"/>
    <mergeCell ref="B3:C3"/>
    <mergeCell ref="E3:F3"/>
    <mergeCell ref="B2:G2"/>
    <mergeCell ref="I1:P1"/>
  </mergeCells>
  <conditionalFormatting sqref="F11:F15">
    <cfRule type="cellIs" dxfId="1874" priority="1" operator="lessThan">
      <formula>0</formula>
    </cfRule>
    <cfRule type="cellIs" dxfId="1873" priority="2" operator="greaterThan">
      <formula>0</formula>
    </cfRule>
  </conditionalFormatting>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I5" activePane="bottomRight" state="frozen"/>
      <selection pane="topRight" activeCell="D1" sqref="D1"/>
      <selection pane="bottomLeft" activeCell="A5" sqref="A5"/>
      <selection pane="bottomRight" activeCell="N41" sqref="N41"/>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7109375" bestFit="1" customWidth="1"/>
    <col min="5" max="5" width="16.7109375" style="302" bestFit="1" customWidth="1"/>
    <col min="6" max="6" width="16.7109375" bestFit="1" customWidth="1"/>
    <col min="7" max="7" width="16.7109375" style="97" bestFit="1" customWidth="1"/>
    <col min="8" max="9" width="16.7109375" bestFit="1" customWidth="1"/>
    <col min="10" max="19" width="16.7109375" style="5" bestFit="1" customWidth="1"/>
    <col min="20" max="24" width="11.42578125" style="5"/>
    <col min="25" max="25" width="16.140625" style="5" customWidth="1"/>
    <col min="26" max="26" width="9.7109375" style="5" bestFit="1" customWidth="1"/>
    <col min="27" max="16384" width="11.42578125" style="5"/>
  </cols>
  <sheetData>
    <row r="1" spans="1:26" ht="23.25" x14ac:dyDescent="0.35">
      <c r="A1" s="156" t="s">
        <v>13</v>
      </c>
      <c r="B1" s="255"/>
      <c r="C1" s="255"/>
    </row>
    <row r="2" spans="1:26" s="178" customFormat="1" ht="12.75" x14ac:dyDescent="0.2">
      <c r="B2" s="297"/>
      <c r="C2" s="297"/>
      <c r="D2" s="181">
        <v>41181</v>
      </c>
      <c r="E2" s="181">
        <f>D2+7</f>
        <v>41188</v>
      </c>
      <c r="F2" s="181">
        <f t="shared" ref="F2:S2" si="0">E2+7</f>
        <v>41195</v>
      </c>
      <c r="G2" s="181">
        <f t="shared" si="0"/>
        <v>41202</v>
      </c>
      <c r="H2" s="181">
        <f t="shared" si="0"/>
        <v>41209</v>
      </c>
      <c r="I2" s="181">
        <f t="shared" si="0"/>
        <v>41216</v>
      </c>
      <c r="J2" s="181">
        <f t="shared" si="0"/>
        <v>41223</v>
      </c>
      <c r="K2" s="181">
        <f t="shared" si="0"/>
        <v>41230</v>
      </c>
      <c r="L2" s="181">
        <f t="shared" si="0"/>
        <v>41237</v>
      </c>
      <c r="M2" s="181">
        <f t="shared" si="0"/>
        <v>41244</v>
      </c>
      <c r="N2" s="181">
        <f t="shared" si="0"/>
        <v>41251</v>
      </c>
      <c r="O2" s="181">
        <f t="shared" si="0"/>
        <v>41258</v>
      </c>
      <c r="P2" s="181">
        <f t="shared" si="0"/>
        <v>41265</v>
      </c>
      <c r="Q2" s="181">
        <f t="shared" si="0"/>
        <v>41272</v>
      </c>
      <c r="R2" s="181">
        <f t="shared" si="0"/>
        <v>41279</v>
      </c>
      <c r="S2" s="181">
        <f t="shared" si="0"/>
        <v>41286</v>
      </c>
      <c r="T2" s="303"/>
    </row>
    <row r="3" spans="1:26" s="6" customFormat="1" x14ac:dyDescent="0.25">
      <c r="A3" s="27"/>
      <c r="B3" s="27" t="s">
        <v>883</v>
      </c>
      <c r="C3" s="27"/>
      <c r="D3" s="52" t="s">
        <v>16</v>
      </c>
      <c r="E3" s="52" t="s">
        <v>715</v>
      </c>
      <c r="F3" s="52" t="s">
        <v>702</v>
      </c>
      <c r="G3" s="52" t="s">
        <v>703</v>
      </c>
      <c r="H3" s="52" t="s">
        <v>704</v>
      </c>
      <c r="I3" s="52" t="s">
        <v>705</v>
      </c>
      <c r="J3" s="52" t="s">
        <v>21</v>
      </c>
      <c r="K3" s="52" t="s">
        <v>22</v>
      </c>
      <c r="L3" s="52" t="s">
        <v>23</v>
      </c>
      <c r="M3" s="52" t="s">
        <v>17</v>
      </c>
      <c r="N3" s="52" t="s">
        <v>18</v>
      </c>
      <c r="O3" s="52" t="s">
        <v>24</v>
      </c>
      <c r="P3" s="52" t="s">
        <v>25</v>
      </c>
      <c r="Q3" s="52" t="s">
        <v>26</v>
      </c>
      <c r="R3" s="52" t="s">
        <v>27</v>
      </c>
      <c r="S3" s="52" t="s">
        <v>28</v>
      </c>
    </row>
    <row r="4" spans="1:26" s="6" customFormat="1" x14ac:dyDescent="0.25">
      <c r="A4" s="27"/>
      <c r="B4" s="298"/>
      <c r="C4" s="298" t="s">
        <v>42</v>
      </c>
      <c r="D4" s="215">
        <f>EconomiaT37!S4+14</f>
        <v>1131</v>
      </c>
      <c r="E4" s="215">
        <f>D4+(D11/30)</f>
        <v>1142</v>
      </c>
      <c r="F4" s="215">
        <f t="shared" ref="F4:R4" si="1">E4+(E11/30)</f>
        <v>1156</v>
      </c>
      <c r="G4" s="215">
        <f t="shared" si="1"/>
        <v>1169</v>
      </c>
      <c r="H4" s="215">
        <f t="shared" si="1"/>
        <v>1179</v>
      </c>
      <c r="I4" s="215">
        <f t="shared" si="1"/>
        <v>1193</v>
      </c>
      <c r="J4" s="215">
        <f t="shared" si="1"/>
        <v>1206</v>
      </c>
      <c r="K4" s="215">
        <f t="shared" si="1"/>
        <v>1218</v>
      </c>
      <c r="L4" s="215">
        <f t="shared" si="1"/>
        <v>1224</v>
      </c>
      <c r="M4" s="215">
        <f t="shared" si="1"/>
        <v>1236</v>
      </c>
      <c r="N4" s="215">
        <f t="shared" si="1"/>
        <v>1248</v>
      </c>
      <c r="O4" s="215">
        <f t="shared" si="1"/>
        <v>1258</v>
      </c>
      <c r="P4" s="215">
        <f t="shared" si="1"/>
        <v>1268</v>
      </c>
      <c r="Q4" s="215">
        <f t="shared" si="1"/>
        <v>1280</v>
      </c>
      <c r="R4" s="215">
        <f t="shared" si="1"/>
        <v>1292</v>
      </c>
      <c r="S4" s="215">
        <f>R4+(R11/30)-39</f>
        <v>1265</v>
      </c>
    </row>
    <row r="5" spans="1:26" s="7" customFormat="1" ht="18.75" x14ac:dyDescent="0.3">
      <c r="A5" s="29" t="s">
        <v>12</v>
      </c>
      <c r="B5" s="29"/>
      <c r="C5" s="296">
        <f>EconomiaT37!S24</f>
        <v>111237</v>
      </c>
      <c r="D5" s="197">
        <f>C5</f>
        <v>111237</v>
      </c>
      <c r="E5" s="197">
        <f>D24</f>
        <v>166308</v>
      </c>
      <c r="F5" s="197">
        <f t="shared" ref="F5:S5" si="2">E24</f>
        <v>1270968</v>
      </c>
      <c r="G5" s="197">
        <f t="shared" si="2"/>
        <v>250259</v>
      </c>
      <c r="H5" s="197">
        <f t="shared" si="2"/>
        <v>65167</v>
      </c>
      <c r="I5" s="197">
        <f t="shared" si="2"/>
        <v>243211</v>
      </c>
      <c r="J5" s="197">
        <f t="shared" si="2"/>
        <v>78018</v>
      </c>
      <c r="K5" s="197">
        <f t="shared" si="2"/>
        <v>14724</v>
      </c>
      <c r="L5" s="197">
        <f t="shared" si="2"/>
        <v>423946</v>
      </c>
      <c r="M5" s="197">
        <f t="shared" si="2"/>
        <v>1219582</v>
      </c>
      <c r="N5" s="197">
        <f t="shared" si="2"/>
        <v>1757420</v>
      </c>
      <c r="O5" s="197">
        <f t="shared" si="2"/>
        <v>445054</v>
      </c>
      <c r="P5" s="197">
        <f t="shared" si="2"/>
        <v>376784</v>
      </c>
      <c r="Q5" s="197">
        <f t="shared" si="2"/>
        <v>684071</v>
      </c>
      <c r="R5" s="197">
        <f t="shared" si="2"/>
        <v>614367</v>
      </c>
      <c r="S5" s="197">
        <f t="shared" si="2"/>
        <v>670149</v>
      </c>
    </row>
    <row r="6" spans="1:26" x14ac:dyDescent="0.25">
      <c r="A6" s="8" t="s">
        <v>0</v>
      </c>
      <c r="B6" s="8" t="s">
        <v>0</v>
      </c>
      <c r="C6" s="199">
        <f>SUM(D6:S6)</f>
        <v>2339312</v>
      </c>
      <c r="D6" s="200">
        <v>121352</v>
      </c>
      <c r="E6" s="200">
        <v>163213</v>
      </c>
      <c r="F6" s="200">
        <v>396122</v>
      </c>
      <c r="G6" s="200">
        <v>5954</v>
      </c>
      <c r="H6" s="200">
        <v>235647</v>
      </c>
      <c r="I6" s="200">
        <v>241275</v>
      </c>
      <c r="J6" s="200">
        <v>4527</v>
      </c>
      <c r="K6" s="200">
        <v>295074</v>
      </c>
      <c r="L6" s="200">
        <v>7226</v>
      </c>
      <c r="M6" s="200">
        <v>274793</v>
      </c>
      <c r="N6" s="200">
        <v>13577</v>
      </c>
      <c r="O6" s="200">
        <v>7361</v>
      </c>
      <c r="P6" s="200">
        <f>7501+254608</f>
        <v>262109</v>
      </c>
      <c r="Q6" s="200">
        <v>7409</v>
      </c>
      <c r="R6" s="200">
        <v>286745</v>
      </c>
      <c r="S6" s="200">
        <v>16928</v>
      </c>
      <c r="Y6" s="8" t="s">
        <v>0</v>
      </c>
      <c r="Z6" s="219">
        <f>C6/$C$13</f>
        <v>0.16694612198915287</v>
      </c>
    </row>
    <row r="7" spans="1:26" x14ac:dyDescent="0.25">
      <c r="A7" s="8" t="s">
        <v>2</v>
      </c>
      <c r="B7" s="8" t="s">
        <v>2</v>
      </c>
      <c r="C7" s="199">
        <f t="shared" ref="C7:C23" si="3">SUM(D7:S7)</f>
        <v>1046265</v>
      </c>
      <c r="D7" s="202">
        <v>52730</v>
      </c>
      <c r="E7" s="202">
        <v>58280</v>
      </c>
      <c r="F7" s="202">
        <v>61610</v>
      </c>
      <c r="G7" s="202">
        <v>63645</v>
      </c>
      <c r="H7" s="202">
        <v>64755</v>
      </c>
      <c r="I7" s="202">
        <v>65680</v>
      </c>
      <c r="J7" s="202">
        <v>66420</v>
      </c>
      <c r="K7" s="202">
        <v>66790</v>
      </c>
      <c r="L7" s="202">
        <v>67160</v>
      </c>
      <c r="M7" s="202">
        <v>67530</v>
      </c>
      <c r="N7" s="202">
        <v>67900</v>
      </c>
      <c r="O7" s="202">
        <v>68270</v>
      </c>
      <c r="P7" s="202">
        <f>O7+380</f>
        <v>68650</v>
      </c>
      <c r="Q7" s="202">
        <v>69010</v>
      </c>
      <c r="R7" s="202">
        <f>Q7+370</f>
        <v>69380</v>
      </c>
      <c r="S7" s="202">
        <v>68455</v>
      </c>
      <c r="Y7" s="8" t="s">
        <v>2</v>
      </c>
      <c r="Z7" s="219">
        <f t="shared" ref="Z7:Z12" si="4">C7/$C$13</f>
        <v>7.4667203144762662E-2</v>
      </c>
    </row>
    <row r="8" spans="1:26" x14ac:dyDescent="0.25">
      <c r="A8" s="8" t="s">
        <v>3</v>
      </c>
      <c r="B8" s="8" t="s">
        <v>48</v>
      </c>
      <c r="C8" s="199">
        <f t="shared" si="3"/>
        <v>9537434</v>
      </c>
      <c r="D8" s="200">
        <v>0</v>
      </c>
      <c r="E8" s="200">
        <v>968130</v>
      </c>
      <c r="F8" s="200">
        <f>200900-950</f>
        <v>199950</v>
      </c>
      <c r="G8" s="200">
        <v>199950</v>
      </c>
      <c r="H8" s="200">
        <f>1050153-H9</f>
        <v>861103</v>
      </c>
      <c r="I8" s="200">
        <v>2164910</v>
      </c>
      <c r="J8" s="200">
        <v>0</v>
      </c>
      <c r="K8" s="200">
        <v>0</v>
      </c>
      <c r="L8" s="200">
        <f>161999-'A-P_T38'!N19+1115999</f>
        <v>1266658</v>
      </c>
      <c r="M8" s="200">
        <v>1298914</v>
      </c>
      <c r="N8" s="200">
        <v>0</v>
      </c>
      <c r="O8" s="200">
        <v>0</v>
      </c>
      <c r="P8" s="200">
        <v>990309</v>
      </c>
      <c r="Q8" s="200">
        <v>0</v>
      </c>
      <c r="R8" s="200">
        <v>1587510</v>
      </c>
      <c r="S8" s="200">
        <v>0</v>
      </c>
      <c r="Y8" s="8" t="s">
        <v>48</v>
      </c>
      <c r="Z8" s="219">
        <f t="shared" si="4"/>
        <v>0.68064354820028039</v>
      </c>
    </row>
    <row r="9" spans="1:26" x14ac:dyDescent="0.25">
      <c r="A9" s="8"/>
      <c r="B9" s="8" t="s">
        <v>820</v>
      </c>
      <c r="C9" s="199">
        <f t="shared" si="3"/>
        <v>885400</v>
      </c>
      <c r="D9" s="200">
        <v>0</v>
      </c>
      <c r="E9" s="200">
        <v>0</v>
      </c>
      <c r="F9" s="200">
        <v>950</v>
      </c>
      <c r="G9" s="200">
        <v>0</v>
      </c>
      <c r="H9" s="200">
        <v>189050</v>
      </c>
      <c r="I9" s="200">
        <v>0</v>
      </c>
      <c r="J9" s="200"/>
      <c r="K9" s="200">
        <v>189999</v>
      </c>
      <c r="L9" s="200">
        <f>'A-P_T38'!O34</f>
        <v>505401</v>
      </c>
      <c r="M9" s="200">
        <v>0</v>
      </c>
      <c r="N9" s="200">
        <v>0</v>
      </c>
      <c r="O9" s="200">
        <v>0</v>
      </c>
      <c r="P9" s="200">
        <v>0</v>
      </c>
      <c r="Q9" s="200">
        <v>0</v>
      </c>
      <c r="R9" s="200">
        <v>0</v>
      </c>
      <c r="S9" s="200">
        <v>0</v>
      </c>
      <c r="Y9" s="8" t="s">
        <v>820</v>
      </c>
      <c r="Z9" s="219">
        <f t="shared" si="4"/>
        <v>6.3186995325632475E-2</v>
      </c>
    </row>
    <row r="10" spans="1:26" x14ac:dyDescent="0.25">
      <c r="A10" s="8" t="s">
        <v>5</v>
      </c>
      <c r="B10" s="8" t="s">
        <v>5</v>
      </c>
      <c r="C10" s="199">
        <f t="shared" si="3"/>
        <v>56595</v>
      </c>
      <c r="D10" s="202">
        <v>4275</v>
      </c>
      <c r="E10" s="202">
        <v>45500</v>
      </c>
      <c r="F10" s="202">
        <v>1220</v>
      </c>
      <c r="G10" s="202">
        <v>2025</v>
      </c>
      <c r="H10" s="202"/>
      <c r="I10" s="202">
        <v>0</v>
      </c>
      <c r="J10" s="202"/>
      <c r="K10" s="202">
        <v>0</v>
      </c>
      <c r="L10" s="202">
        <v>3525</v>
      </c>
      <c r="M10" s="202">
        <v>0</v>
      </c>
      <c r="N10" s="202">
        <v>0</v>
      </c>
      <c r="O10" s="202">
        <v>0</v>
      </c>
      <c r="P10" s="202">
        <v>0</v>
      </c>
      <c r="Q10" s="202">
        <v>0</v>
      </c>
      <c r="R10" s="202">
        <v>0</v>
      </c>
      <c r="S10" s="202">
        <v>50</v>
      </c>
      <c r="Y10" s="8" t="s">
        <v>5</v>
      </c>
      <c r="Z10" s="219">
        <f t="shared" si="4"/>
        <v>4.0389292980056134E-3</v>
      </c>
    </row>
    <row r="11" spans="1:26" x14ac:dyDescent="0.25">
      <c r="A11" s="728" t="s">
        <v>7</v>
      </c>
      <c r="B11" s="8" t="s">
        <v>19</v>
      </c>
      <c r="C11" s="199">
        <f t="shared" si="3"/>
        <v>47371</v>
      </c>
      <c r="D11" s="202">
        <v>330</v>
      </c>
      <c r="E11" s="202">
        <v>420</v>
      </c>
      <c r="F11" s="202">
        <v>390</v>
      </c>
      <c r="G11" s="202">
        <v>300</v>
      </c>
      <c r="H11" s="202">
        <v>420</v>
      </c>
      <c r="I11" s="202">
        <v>390</v>
      </c>
      <c r="J11" s="202">
        <v>360</v>
      </c>
      <c r="K11" s="202">
        <v>180</v>
      </c>
      <c r="L11" s="202">
        <v>360</v>
      </c>
      <c r="M11" s="202">
        <v>360</v>
      </c>
      <c r="N11" s="202">
        <v>300</v>
      </c>
      <c r="O11" s="202">
        <v>300</v>
      </c>
      <c r="P11" s="202">
        <f>180+180</f>
        <v>360</v>
      </c>
      <c r="Q11" s="202">
        <f>180+180</f>
        <v>360</v>
      </c>
      <c r="R11" s="202">
        <v>360</v>
      </c>
      <c r="S11" s="202">
        <f>37952+210+3810+209</f>
        <v>42181</v>
      </c>
      <c r="Y11" s="8" t="s">
        <v>19</v>
      </c>
      <c r="Z11" s="219">
        <f t="shared" si="4"/>
        <v>3.3806541174277571E-3</v>
      </c>
    </row>
    <row r="12" spans="1:26" x14ac:dyDescent="0.25">
      <c r="A12" s="729"/>
      <c r="B12" s="8" t="s">
        <v>51</v>
      </c>
      <c r="C12" s="199">
        <f t="shared" si="3"/>
        <v>100000</v>
      </c>
      <c r="D12" s="202">
        <v>0</v>
      </c>
      <c r="E12" s="202">
        <v>0</v>
      </c>
      <c r="F12" s="202">
        <v>0</v>
      </c>
      <c r="G12" s="202">
        <v>0</v>
      </c>
      <c r="H12" s="202"/>
      <c r="I12" s="202">
        <v>0</v>
      </c>
      <c r="J12" s="202"/>
      <c r="K12" s="202">
        <v>0</v>
      </c>
      <c r="L12" s="202">
        <v>0</v>
      </c>
      <c r="M12" s="202">
        <v>0</v>
      </c>
      <c r="N12" s="202">
        <v>0</v>
      </c>
      <c r="O12" s="202">
        <v>0</v>
      </c>
      <c r="P12" s="202">
        <v>0</v>
      </c>
      <c r="Q12" s="202">
        <v>0</v>
      </c>
      <c r="R12" s="202">
        <v>0</v>
      </c>
      <c r="S12" s="202">
        <f>40000+60000</f>
        <v>100000</v>
      </c>
      <c r="Y12" s="8" t="s">
        <v>51</v>
      </c>
      <c r="Z12" s="219">
        <f t="shared" si="4"/>
        <v>7.1365479247382513E-3</v>
      </c>
    </row>
    <row r="13" spans="1:26" s="21" customFormat="1" ht="18.75" x14ac:dyDescent="0.3">
      <c r="A13" s="19" t="s">
        <v>14</v>
      </c>
      <c r="B13" s="20"/>
      <c r="C13" s="203">
        <f t="shared" si="3"/>
        <v>14012377</v>
      </c>
      <c r="D13" s="204">
        <f t="shared" ref="D13:I13" si="5">SUM(D6:D12)</f>
        <v>178687</v>
      </c>
      <c r="E13" s="204">
        <f t="shared" si="5"/>
        <v>1235543</v>
      </c>
      <c r="F13" s="204">
        <f t="shared" si="5"/>
        <v>660242</v>
      </c>
      <c r="G13" s="204">
        <f>G12+G11+G10+G9+G8+G7+G6</f>
        <v>271874</v>
      </c>
      <c r="H13" s="204">
        <f t="shared" si="5"/>
        <v>1350975</v>
      </c>
      <c r="I13" s="204">
        <f t="shared" si="5"/>
        <v>2472255</v>
      </c>
      <c r="J13" s="204">
        <f t="shared" ref="J13:S13" si="6">SUM(J6:J12)</f>
        <v>71307</v>
      </c>
      <c r="K13" s="204">
        <f t="shared" si="6"/>
        <v>552043</v>
      </c>
      <c r="L13" s="204">
        <f t="shared" si="6"/>
        <v>1850330</v>
      </c>
      <c r="M13" s="204">
        <f t="shared" si="6"/>
        <v>1641597</v>
      </c>
      <c r="N13" s="204">
        <f t="shared" si="6"/>
        <v>81777</v>
      </c>
      <c r="O13" s="204">
        <f t="shared" si="6"/>
        <v>75931</v>
      </c>
      <c r="P13" s="204">
        <f t="shared" si="6"/>
        <v>1321428</v>
      </c>
      <c r="Q13" s="204">
        <f t="shared" si="6"/>
        <v>76779</v>
      </c>
      <c r="R13" s="204">
        <f t="shared" si="6"/>
        <v>1943995</v>
      </c>
      <c r="S13" s="204">
        <f t="shared" si="6"/>
        <v>227614</v>
      </c>
      <c r="Z13" s="222">
        <f>SUM(Z6:Z12)</f>
        <v>1</v>
      </c>
    </row>
    <row r="14" spans="1:26" ht="18.75" x14ac:dyDescent="0.3">
      <c r="A14" s="22" t="s">
        <v>1</v>
      </c>
      <c r="B14" s="23" t="str">
        <f>A14</f>
        <v>Sueldos</v>
      </c>
      <c r="C14" s="206">
        <f t="shared" si="3"/>
        <v>1037788</v>
      </c>
      <c r="D14" s="207">
        <v>57744</v>
      </c>
      <c r="E14" s="207">
        <v>57768</v>
      </c>
      <c r="F14" s="207">
        <v>54644</v>
      </c>
      <c r="G14" s="207">
        <v>58334</v>
      </c>
      <c r="H14" s="207">
        <v>60412</v>
      </c>
      <c r="I14" s="207">
        <v>60826</v>
      </c>
      <c r="J14" s="207">
        <v>66486</v>
      </c>
      <c r="K14" s="207">
        <v>66706</v>
      </c>
      <c r="L14" s="207">
        <v>66426</v>
      </c>
      <c r="M14" s="207">
        <v>67132</v>
      </c>
      <c r="N14" s="207">
        <v>65776</v>
      </c>
      <c r="O14" s="207">
        <v>71086</v>
      </c>
      <c r="P14" s="207">
        <f>O14</f>
        <v>71086</v>
      </c>
      <c r="Q14" s="207">
        <v>71768</v>
      </c>
      <c r="R14" s="207">
        <v>71768</v>
      </c>
      <c r="S14" s="207">
        <v>69826</v>
      </c>
      <c r="Y14" s="744">
        <f>C13</f>
        <v>14012377</v>
      </c>
      <c r="Z14" s="745"/>
    </row>
    <row r="15" spans="1:26" x14ac:dyDescent="0.25">
      <c r="A15" s="22" t="s">
        <v>29</v>
      </c>
      <c r="B15" s="23" t="str">
        <f>A15</f>
        <v xml:space="preserve">Mantenimiento </v>
      </c>
      <c r="C15" s="206">
        <f t="shared" si="3"/>
        <v>303797</v>
      </c>
      <c r="D15" s="207">
        <v>14072</v>
      </c>
      <c r="E15" s="207">
        <v>19315</v>
      </c>
      <c r="F15" s="207">
        <f t="shared" ref="F15:S15" si="7">E15</f>
        <v>19315</v>
      </c>
      <c r="G15" s="207">
        <f t="shared" si="7"/>
        <v>19315</v>
      </c>
      <c r="H15" s="207">
        <f t="shared" si="7"/>
        <v>19315</v>
      </c>
      <c r="I15" s="207">
        <f t="shared" si="7"/>
        <v>19315</v>
      </c>
      <c r="J15" s="207">
        <f t="shared" si="7"/>
        <v>19315</v>
      </c>
      <c r="K15" s="207">
        <f t="shared" si="7"/>
        <v>19315</v>
      </c>
      <c r="L15" s="207">
        <f t="shared" si="7"/>
        <v>19315</v>
      </c>
      <c r="M15" s="207">
        <f t="shared" si="7"/>
        <v>19315</v>
      </c>
      <c r="N15" s="207">
        <f t="shared" si="7"/>
        <v>19315</v>
      </c>
      <c r="O15" s="207">
        <f t="shared" si="7"/>
        <v>19315</v>
      </c>
      <c r="P15" s="207">
        <f t="shared" si="7"/>
        <v>19315</v>
      </c>
      <c r="Q15" s="207">
        <f t="shared" si="7"/>
        <v>19315</v>
      </c>
      <c r="R15" s="207">
        <f t="shared" si="7"/>
        <v>19315</v>
      </c>
      <c r="S15" s="207">
        <f t="shared" si="7"/>
        <v>19315</v>
      </c>
    </row>
    <row r="16" spans="1:26" x14ac:dyDescent="0.25">
      <c r="A16" s="22" t="s">
        <v>4</v>
      </c>
      <c r="B16" s="23" t="s">
        <v>30</v>
      </c>
      <c r="C16" s="206">
        <f t="shared" si="3"/>
        <v>417340</v>
      </c>
      <c r="D16" s="207">
        <v>0</v>
      </c>
      <c r="E16" s="207">
        <f t="shared" ref="E16:S20" si="8">D16</f>
        <v>0</v>
      </c>
      <c r="F16" s="207">
        <f t="shared" si="8"/>
        <v>0</v>
      </c>
      <c r="G16" s="207">
        <f t="shared" si="8"/>
        <v>0</v>
      </c>
      <c r="H16" s="207">
        <f t="shared" si="8"/>
        <v>0</v>
      </c>
      <c r="I16" s="207">
        <f t="shared" si="8"/>
        <v>0</v>
      </c>
      <c r="J16" s="207">
        <f t="shared" si="8"/>
        <v>0</v>
      </c>
      <c r="K16" s="207">
        <f t="shared" si="8"/>
        <v>0</v>
      </c>
      <c r="L16" s="207">
        <f t="shared" si="8"/>
        <v>0</v>
      </c>
      <c r="M16" s="207">
        <f t="shared" si="8"/>
        <v>0</v>
      </c>
      <c r="N16" s="207">
        <f t="shared" si="8"/>
        <v>0</v>
      </c>
      <c r="O16" s="207">
        <f t="shared" si="8"/>
        <v>0</v>
      </c>
      <c r="P16" s="207">
        <f t="shared" si="8"/>
        <v>0</v>
      </c>
      <c r="Q16" s="207">
        <f t="shared" si="8"/>
        <v>0</v>
      </c>
      <c r="R16" s="207">
        <v>417340</v>
      </c>
      <c r="S16" s="207">
        <v>0</v>
      </c>
    </row>
    <row r="17" spans="1:26" x14ac:dyDescent="0.25">
      <c r="A17" s="22" t="s">
        <v>6</v>
      </c>
      <c r="B17" s="23" t="str">
        <f>A17</f>
        <v>Empleados</v>
      </c>
      <c r="C17" s="206">
        <f t="shared" si="3"/>
        <v>482400</v>
      </c>
      <c r="D17" s="207">
        <v>28800</v>
      </c>
      <c r="E17" s="207">
        <f t="shared" si="8"/>
        <v>28800</v>
      </c>
      <c r="F17" s="207">
        <v>32400</v>
      </c>
      <c r="G17" s="207">
        <f t="shared" si="8"/>
        <v>32400</v>
      </c>
      <c r="H17" s="207">
        <f t="shared" si="8"/>
        <v>32400</v>
      </c>
      <c r="I17" s="207">
        <v>28800</v>
      </c>
      <c r="J17" s="207">
        <f t="shared" si="8"/>
        <v>28800</v>
      </c>
      <c r="K17" s="207">
        <f t="shared" si="8"/>
        <v>28800</v>
      </c>
      <c r="L17" s="207">
        <f t="shared" si="8"/>
        <v>28800</v>
      </c>
      <c r="M17" s="207">
        <v>32400</v>
      </c>
      <c r="N17" s="207">
        <v>28800</v>
      </c>
      <c r="O17" s="207">
        <f t="shared" si="8"/>
        <v>28800</v>
      </c>
      <c r="P17" s="207">
        <v>28800</v>
      </c>
      <c r="Q17" s="207">
        <f>P17+1800+1800</f>
        <v>32400</v>
      </c>
      <c r="R17" s="207">
        <f t="shared" si="8"/>
        <v>32400</v>
      </c>
      <c r="S17" s="207">
        <v>28800</v>
      </c>
    </row>
    <row r="18" spans="1:26" x14ac:dyDescent="0.25">
      <c r="A18" s="22" t="s">
        <v>8</v>
      </c>
      <c r="B18" s="23" t="str">
        <f>A18</f>
        <v>Juveniles</v>
      </c>
      <c r="C18" s="206">
        <f t="shared" si="3"/>
        <v>320000</v>
      </c>
      <c r="D18" s="207">
        <f>EconomiaT37!S18</f>
        <v>20000</v>
      </c>
      <c r="E18" s="207">
        <f t="shared" si="8"/>
        <v>20000</v>
      </c>
      <c r="F18" s="207">
        <f t="shared" si="8"/>
        <v>20000</v>
      </c>
      <c r="G18" s="207">
        <f t="shared" si="8"/>
        <v>20000</v>
      </c>
      <c r="H18" s="207">
        <f t="shared" si="8"/>
        <v>20000</v>
      </c>
      <c r="I18" s="207">
        <f t="shared" si="8"/>
        <v>20000</v>
      </c>
      <c r="J18" s="207">
        <f t="shared" si="8"/>
        <v>20000</v>
      </c>
      <c r="K18" s="207">
        <f t="shared" si="8"/>
        <v>20000</v>
      </c>
      <c r="L18" s="207">
        <f t="shared" si="8"/>
        <v>20000</v>
      </c>
      <c r="M18" s="207">
        <f t="shared" si="8"/>
        <v>20000</v>
      </c>
      <c r="N18" s="207">
        <f t="shared" si="8"/>
        <v>20000</v>
      </c>
      <c r="O18" s="207">
        <f t="shared" si="8"/>
        <v>20000</v>
      </c>
      <c r="P18" s="207">
        <f t="shared" si="8"/>
        <v>20000</v>
      </c>
      <c r="Q18" s="207">
        <f t="shared" si="8"/>
        <v>20000</v>
      </c>
      <c r="R18" s="207">
        <f t="shared" si="8"/>
        <v>20000</v>
      </c>
      <c r="S18" s="207">
        <f t="shared" si="8"/>
        <v>20000</v>
      </c>
    </row>
    <row r="19" spans="1:26" x14ac:dyDescent="0.25">
      <c r="A19" s="22" t="s">
        <v>9</v>
      </c>
      <c r="B19" s="23" t="s">
        <v>50</v>
      </c>
      <c r="C19" s="206">
        <f t="shared" si="3"/>
        <v>10199955</v>
      </c>
      <c r="D19" s="207">
        <v>0</v>
      </c>
      <c r="E19" s="207">
        <f t="shared" si="8"/>
        <v>0</v>
      </c>
      <c r="F19" s="207">
        <v>1249292</v>
      </c>
      <c r="G19" s="207">
        <v>322917</v>
      </c>
      <c r="H19" s="207">
        <v>1033204</v>
      </c>
      <c r="I19" s="207">
        <v>2504507</v>
      </c>
      <c r="J19" s="207">
        <v>0</v>
      </c>
      <c r="K19" s="207">
        <f t="shared" si="8"/>
        <v>0</v>
      </c>
      <c r="L19" s="207">
        <f>521000+1308+393001+2844</f>
        <v>918153</v>
      </c>
      <c r="M19" s="207">
        <f>500000+2940</f>
        <v>502940</v>
      </c>
      <c r="N19" s="207">
        <v>1254252</v>
      </c>
      <c r="O19" s="207">
        <v>0</v>
      </c>
      <c r="P19" s="207">
        <f>867000+5940</f>
        <v>872940</v>
      </c>
      <c r="Q19" s="207">
        <v>0</v>
      </c>
      <c r="R19" s="207">
        <f>1300000+1790</f>
        <v>1301790</v>
      </c>
      <c r="S19" s="207">
        <f>48000+470+20000+450+104040+610+20000+630+25000+370+20000+390</f>
        <v>239960</v>
      </c>
    </row>
    <row r="20" spans="1:26" x14ac:dyDescent="0.25">
      <c r="A20" s="24" t="s">
        <v>7</v>
      </c>
      <c r="B20" s="23" t="s">
        <v>11</v>
      </c>
      <c r="C20" s="206">
        <f t="shared" si="3"/>
        <v>761672</v>
      </c>
      <c r="D20" s="207">
        <v>0</v>
      </c>
      <c r="E20" s="207">
        <f t="shared" si="8"/>
        <v>0</v>
      </c>
      <c r="F20" s="207">
        <v>303300</v>
      </c>
      <c r="G20" s="207">
        <v>0</v>
      </c>
      <c r="H20" s="207">
        <f t="shared" si="8"/>
        <v>0</v>
      </c>
      <c r="I20" s="207">
        <f t="shared" si="8"/>
        <v>0</v>
      </c>
      <c r="J20" s="207">
        <f t="shared" si="8"/>
        <v>0</v>
      </c>
      <c r="K20" s="207">
        <f t="shared" si="8"/>
        <v>0</v>
      </c>
      <c r="L20" s="207">
        <f t="shared" si="8"/>
        <v>0</v>
      </c>
      <c r="M20" s="207">
        <f>458000+372</f>
        <v>458372</v>
      </c>
      <c r="N20" s="207">
        <v>0</v>
      </c>
      <c r="O20" s="207">
        <f t="shared" si="8"/>
        <v>0</v>
      </c>
      <c r="P20" s="207">
        <f t="shared" si="8"/>
        <v>0</v>
      </c>
      <c r="Q20" s="207">
        <f t="shared" si="8"/>
        <v>0</v>
      </c>
      <c r="R20" s="207">
        <f t="shared" si="8"/>
        <v>0</v>
      </c>
      <c r="S20" s="207">
        <f t="shared" si="8"/>
        <v>0</v>
      </c>
    </row>
    <row r="21" spans="1:26" x14ac:dyDescent="0.25">
      <c r="A21" s="24"/>
      <c r="B21" s="23" t="s">
        <v>818</v>
      </c>
      <c r="C21" s="206">
        <f t="shared" si="3"/>
        <v>86800</v>
      </c>
      <c r="D21" s="207">
        <v>3000</v>
      </c>
      <c r="E21" s="207">
        <v>5000</v>
      </c>
      <c r="F21" s="207">
        <v>2000</v>
      </c>
      <c r="G21" s="207">
        <v>4000</v>
      </c>
      <c r="H21" s="207">
        <v>7600</v>
      </c>
      <c r="I21" s="207">
        <v>4000</v>
      </c>
      <c r="J21" s="207">
        <v>0</v>
      </c>
      <c r="K21" s="207">
        <v>8000</v>
      </c>
      <c r="L21" s="207">
        <v>2000</v>
      </c>
      <c r="M21" s="207">
        <v>3600</v>
      </c>
      <c r="N21" s="207">
        <v>6000</v>
      </c>
      <c r="O21" s="207">
        <v>5000</v>
      </c>
      <c r="P21" s="207">
        <v>2000</v>
      </c>
      <c r="Q21" s="207">
        <v>3000</v>
      </c>
      <c r="R21" s="207">
        <v>25600</v>
      </c>
      <c r="S21" s="207">
        <v>6000</v>
      </c>
    </row>
    <row r="22" spans="1:26" x14ac:dyDescent="0.25">
      <c r="A22" s="22" t="s">
        <v>10</v>
      </c>
      <c r="B22" s="23" t="str">
        <f>A22</f>
        <v>Intereses</v>
      </c>
      <c r="C22" s="206">
        <f t="shared" si="3"/>
        <v>0</v>
      </c>
      <c r="D22" s="207">
        <f>IF(D5&lt;0,D5*0.05,0)</f>
        <v>0</v>
      </c>
      <c r="E22" s="207">
        <f>IF(E5&lt;0,E5*0.05,0)</f>
        <v>0</v>
      </c>
      <c r="F22" s="207">
        <f t="shared" ref="F22:S22" si="9">IF(F5&lt;0,F5*0.05,0)</f>
        <v>0</v>
      </c>
      <c r="G22" s="207">
        <f t="shared" si="9"/>
        <v>0</v>
      </c>
      <c r="H22" s="207">
        <f t="shared" si="9"/>
        <v>0</v>
      </c>
      <c r="I22" s="207">
        <f t="shared" si="9"/>
        <v>0</v>
      </c>
      <c r="J22" s="207">
        <f t="shared" si="9"/>
        <v>0</v>
      </c>
      <c r="K22" s="207">
        <f t="shared" si="9"/>
        <v>0</v>
      </c>
      <c r="L22" s="207">
        <f t="shared" si="9"/>
        <v>0</v>
      </c>
      <c r="M22" s="207">
        <f t="shared" si="9"/>
        <v>0</v>
      </c>
      <c r="N22" s="207">
        <f t="shared" si="9"/>
        <v>0</v>
      </c>
      <c r="O22" s="207">
        <f t="shared" si="9"/>
        <v>0</v>
      </c>
      <c r="P22" s="207">
        <f t="shared" si="9"/>
        <v>0</v>
      </c>
      <c r="Q22" s="207">
        <f t="shared" si="9"/>
        <v>0</v>
      </c>
      <c r="R22" s="207">
        <f t="shared" si="9"/>
        <v>0</v>
      </c>
      <c r="S22" s="207">
        <f t="shared" si="9"/>
        <v>0</v>
      </c>
    </row>
    <row r="23" spans="1:26" s="31" customFormat="1" ht="18.75" x14ac:dyDescent="0.3">
      <c r="A23" s="25" t="s">
        <v>15</v>
      </c>
      <c r="B23" s="26"/>
      <c r="C23" s="209">
        <f t="shared" si="3"/>
        <v>13609752</v>
      </c>
      <c r="D23" s="210">
        <f t="shared" ref="D23:I23" si="10">SUM(D14:D22)</f>
        <v>123616</v>
      </c>
      <c r="E23" s="210">
        <f t="shared" si="10"/>
        <v>130883</v>
      </c>
      <c r="F23" s="210">
        <f t="shared" si="10"/>
        <v>1680951</v>
      </c>
      <c r="G23" s="210">
        <f t="shared" si="10"/>
        <v>456966</v>
      </c>
      <c r="H23" s="210">
        <f t="shared" si="10"/>
        <v>1172931</v>
      </c>
      <c r="I23" s="210">
        <f t="shared" si="10"/>
        <v>2637448</v>
      </c>
      <c r="J23" s="210">
        <f t="shared" ref="J23:S23" si="11">SUM(J14:J22)</f>
        <v>134601</v>
      </c>
      <c r="K23" s="210">
        <f t="shared" si="11"/>
        <v>142821</v>
      </c>
      <c r="L23" s="210">
        <f t="shared" si="11"/>
        <v>1054694</v>
      </c>
      <c r="M23" s="210">
        <f t="shared" si="11"/>
        <v>1103759</v>
      </c>
      <c r="N23" s="210">
        <f t="shared" si="11"/>
        <v>1394143</v>
      </c>
      <c r="O23" s="210">
        <f t="shared" si="11"/>
        <v>144201</v>
      </c>
      <c r="P23" s="210">
        <f t="shared" si="11"/>
        <v>1014141</v>
      </c>
      <c r="Q23" s="210">
        <f t="shared" si="11"/>
        <v>146483</v>
      </c>
      <c r="R23" s="210">
        <f t="shared" si="11"/>
        <v>1888213</v>
      </c>
      <c r="S23" s="210">
        <f t="shared" si="11"/>
        <v>383901</v>
      </c>
      <c r="Y23" s="23" t="s">
        <v>1</v>
      </c>
      <c r="Z23" s="220">
        <f>C14/$C$23</f>
        <v>7.6253263101340868E-2</v>
      </c>
    </row>
    <row r="24" spans="1:26" s="7" customFormat="1" ht="18.75" x14ac:dyDescent="0.3">
      <c r="A24" s="9" t="s">
        <v>20</v>
      </c>
      <c r="B24" s="9"/>
      <c r="C24" s="197">
        <f>C5+C13-C23</f>
        <v>513862</v>
      </c>
      <c r="D24" s="197">
        <f t="shared" ref="D24:S24" si="12">D5+D13-D23</f>
        <v>166308</v>
      </c>
      <c r="E24" s="197">
        <f t="shared" si="12"/>
        <v>1270968</v>
      </c>
      <c r="F24" s="197">
        <f t="shared" si="12"/>
        <v>250259</v>
      </c>
      <c r="G24" s="197">
        <f t="shared" si="12"/>
        <v>65167</v>
      </c>
      <c r="H24" s="197">
        <f t="shared" si="12"/>
        <v>243211</v>
      </c>
      <c r="I24" s="197">
        <f t="shared" si="12"/>
        <v>78018</v>
      </c>
      <c r="J24" s="197">
        <f t="shared" si="12"/>
        <v>14724</v>
      </c>
      <c r="K24" s="197">
        <f t="shared" si="12"/>
        <v>423946</v>
      </c>
      <c r="L24" s="197">
        <f t="shared" si="12"/>
        <v>1219582</v>
      </c>
      <c r="M24" s="197">
        <f t="shared" si="12"/>
        <v>1757420</v>
      </c>
      <c r="N24" s="197">
        <f t="shared" si="12"/>
        <v>445054</v>
      </c>
      <c r="O24" s="197">
        <f t="shared" si="12"/>
        <v>376784</v>
      </c>
      <c r="P24" s="197">
        <f t="shared" si="12"/>
        <v>684071</v>
      </c>
      <c r="Q24" s="197">
        <f t="shared" si="12"/>
        <v>614367</v>
      </c>
      <c r="R24" s="197">
        <f t="shared" si="12"/>
        <v>670149</v>
      </c>
      <c r="S24" s="197">
        <f t="shared" si="12"/>
        <v>513862</v>
      </c>
      <c r="Y24" s="23" t="s">
        <v>29</v>
      </c>
      <c r="Z24" s="220">
        <f t="shared" ref="Z24:Z31" si="13">C15/$C$23</f>
        <v>2.2322008512719409E-2</v>
      </c>
    </row>
    <row r="25" spans="1:26" s="178" customFormat="1" x14ac:dyDescent="0.25">
      <c r="A25" s="182"/>
      <c r="B25" s="182"/>
      <c r="C25" s="182"/>
      <c r="D25" s="183">
        <f>D2+6</f>
        <v>41187</v>
      </c>
      <c r="E25" s="183">
        <f>D25+7</f>
        <v>41194</v>
      </c>
      <c r="F25" s="183">
        <f t="shared" ref="F25:S25" si="14">E25+7</f>
        <v>41201</v>
      </c>
      <c r="G25" s="183">
        <f t="shared" si="14"/>
        <v>41208</v>
      </c>
      <c r="H25" s="183">
        <f t="shared" si="14"/>
        <v>41215</v>
      </c>
      <c r="I25" s="183">
        <f t="shared" si="14"/>
        <v>41222</v>
      </c>
      <c r="J25" s="183">
        <f t="shared" si="14"/>
        <v>41229</v>
      </c>
      <c r="K25" s="183">
        <f t="shared" si="14"/>
        <v>41236</v>
      </c>
      <c r="L25" s="183">
        <f t="shared" si="14"/>
        <v>41243</v>
      </c>
      <c r="M25" s="183">
        <f t="shared" si="14"/>
        <v>41250</v>
      </c>
      <c r="N25" s="183">
        <f t="shared" si="14"/>
        <v>41257</v>
      </c>
      <c r="O25" s="183">
        <f t="shared" si="14"/>
        <v>41264</v>
      </c>
      <c r="P25" s="183">
        <f t="shared" si="14"/>
        <v>41271</v>
      </c>
      <c r="Q25" s="183">
        <f t="shared" si="14"/>
        <v>41278</v>
      </c>
      <c r="R25" s="183">
        <f t="shared" si="14"/>
        <v>41285</v>
      </c>
      <c r="S25" s="183">
        <f t="shared" si="14"/>
        <v>41292</v>
      </c>
      <c r="Y25" s="23" t="s">
        <v>30</v>
      </c>
      <c r="Z25" s="220">
        <f t="shared" si="13"/>
        <v>3.066477625749536E-2</v>
      </c>
    </row>
    <row r="26" spans="1:26" s="178" customFormat="1" x14ac:dyDescent="0.25">
      <c r="A26" s="732" t="s">
        <v>942</v>
      </c>
      <c r="B26" s="732"/>
      <c r="C26" s="223">
        <f>C6+C7+C11</f>
        <v>3432948</v>
      </c>
      <c r="D26" s="223">
        <f t="shared" ref="D26:S26" si="15">D6+D7+D11</f>
        <v>174412</v>
      </c>
      <c r="E26" s="223">
        <f t="shared" si="15"/>
        <v>221913</v>
      </c>
      <c r="F26" s="223">
        <f t="shared" si="15"/>
        <v>458122</v>
      </c>
      <c r="G26" s="223">
        <f t="shared" si="15"/>
        <v>69899</v>
      </c>
      <c r="H26" s="223">
        <f t="shared" si="15"/>
        <v>300822</v>
      </c>
      <c r="I26" s="223">
        <f t="shared" si="15"/>
        <v>307345</v>
      </c>
      <c r="J26" s="223">
        <f t="shared" si="15"/>
        <v>71307</v>
      </c>
      <c r="K26" s="223">
        <f t="shared" si="15"/>
        <v>362044</v>
      </c>
      <c r="L26" s="223">
        <f t="shared" si="15"/>
        <v>74746</v>
      </c>
      <c r="M26" s="223">
        <f t="shared" si="15"/>
        <v>342683</v>
      </c>
      <c r="N26" s="223">
        <f t="shared" si="15"/>
        <v>81777</v>
      </c>
      <c r="O26" s="223">
        <f t="shared" si="15"/>
        <v>75931</v>
      </c>
      <c r="P26" s="223">
        <f t="shared" si="15"/>
        <v>331119</v>
      </c>
      <c r="Q26" s="223">
        <f t="shared" si="15"/>
        <v>76779</v>
      </c>
      <c r="R26" s="223">
        <f t="shared" si="15"/>
        <v>356485</v>
      </c>
      <c r="S26" s="223">
        <f t="shared" si="15"/>
        <v>127564</v>
      </c>
      <c r="T26" s="194"/>
      <c r="Y26" s="23" t="s">
        <v>6</v>
      </c>
      <c r="Z26" s="220">
        <f t="shared" si="13"/>
        <v>3.5445171961987258E-2</v>
      </c>
    </row>
    <row r="27" spans="1:26" s="178" customFormat="1" x14ac:dyDescent="0.25">
      <c r="A27" s="733" t="s">
        <v>943</v>
      </c>
      <c r="B27" s="733"/>
      <c r="C27" s="224">
        <f>C14+C15+C17+C18+C21</f>
        <v>2230785</v>
      </c>
      <c r="D27" s="224">
        <f t="shared" ref="D27:S27" si="16">D14+D15+D17+D18+D21</f>
        <v>123616</v>
      </c>
      <c r="E27" s="224">
        <f t="shared" si="16"/>
        <v>130883</v>
      </c>
      <c r="F27" s="224">
        <f t="shared" si="16"/>
        <v>128359</v>
      </c>
      <c r="G27" s="224">
        <f t="shared" si="16"/>
        <v>134049</v>
      </c>
      <c r="H27" s="224">
        <f t="shared" si="16"/>
        <v>139727</v>
      </c>
      <c r="I27" s="224">
        <f t="shared" si="16"/>
        <v>132941</v>
      </c>
      <c r="J27" s="224">
        <f t="shared" si="16"/>
        <v>134601</v>
      </c>
      <c r="K27" s="224">
        <f t="shared" si="16"/>
        <v>142821</v>
      </c>
      <c r="L27" s="224">
        <f t="shared" si="16"/>
        <v>136541</v>
      </c>
      <c r="M27" s="224">
        <f t="shared" si="16"/>
        <v>142447</v>
      </c>
      <c r="N27" s="224">
        <f t="shared" si="16"/>
        <v>139891</v>
      </c>
      <c r="O27" s="224">
        <f t="shared" si="16"/>
        <v>144201</v>
      </c>
      <c r="P27" s="224">
        <f t="shared" si="16"/>
        <v>141201</v>
      </c>
      <c r="Q27" s="224">
        <f t="shared" si="16"/>
        <v>146483</v>
      </c>
      <c r="R27" s="224">
        <f t="shared" si="16"/>
        <v>169083</v>
      </c>
      <c r="S27" s="224">
        <f t="shared" si="16"/>
        <v>143941</v>
      </c>
      <c r="T27" s="195"/>
      <c r="Y27" s="23" t="s">
        <v>8</v>
      </c>
      <c r="Z27" s="220">
        <f t="shared" si="13"/>
        <v>2.3512551881915263E-2</v>
      </c>
    </row>
    <row r="28" spans="1:26" x14ac:dyDescent="0.25">
      <c r="A28" s="734" t="s">
        <v>944</v>
      </c>
      <c r="B28" s="734"/>
      <c r="C28" s="212">
        <f>C26-C27</f>
        <v>1202163</v>
      </c>
      <c r="D28" s="212">
        <f t="shared" ref="D28:S28" si="17">D26-D27</f>
        <v>50796</v>
      </c>
      <c r="E28" s="212">
        <f t="shared" si="17"/>
        <v>91030</v>
      </c>
      <c r="F28" s="212">
        <f t="shared" si="17"/>
        <v>329763</v>
      </c>
      <c r="G28" s="212">
        <f t="shared" si="17"/>
        <v>-64150</v>
      </c>
      <c r="H28" s="212">
        <f t="shared" si="17"/>
        <v>161095</v>
      </c>
      <c r="I28" s="212">
        <f t="shared" si="17"/>
        <v>174404</v>
      </c>
      <c r="J28" s="212">
        <f t="shared" si="17"/>
        <v>-63294</v>
      </c>
      <c r="K28" s="212">
        <f t="shared" si="17"/>
        <v>219223</v>
      </c>
      <c r="L28" s="212">
        <f t="shared" si="17"/>
        <v>-61795</v>
      </c>
      <c r="M28" s="212">
        <f t="shared" si="17"/>
        <v>200236</v>
      </c>
      <c r="N28" s="212">
        <f t="shared" si="17"/>
        <v>-58114</v>
      </c>
      <c r="O28" s="212">
        <f t="shared" si="17"/>
        <v>-68270</v>
      </c>
      <c r="P28" s="212">
        <f t="shared" si="17"/>
        <v>189918</v>
      </c>
      <c r="Q28" s="212">
        <f t="shared" si="17"/>
        <v>-69704</v>
      </c>
      <c r="R28" s="212">
        <f t="shared" si="17"/>
        <v>187402</v>
      </c>
      <c r="S28" s="212">
        <f t="shared" si="17"/>
        <v>-16377</v>
      </c>
      <c r="T28" s="192"/>
      <c r="Y28" s="23" t="s">
        <v>50</v>
      </c>
      <c r="Z28" s="220">
        <f t="shared" si="13"/>
        <v>0.74945928478344059</v>
      </c>
    </row>
    <row r="29" spans="1:26" x14ac:dyDescent="0.25">
      <c r="A29" s="732" t="s">
        <v>945</v>
      </c>
      <c r="B29" s="732"/>
      <c r="C29" s="223">
        <f>C8+C9+C10+C12</f>
        <v>10579429</v>
      </c>
      <c r="D29" s="223">
        <f t="shared" ref="D29:S29" si="18">D8+D9+D10+D12</f>
        <v>4275</v>
      </c>
      <c r="E29" s="223">
        <f t="shared" si="18"/>
        <v>1013630</v>
      </c>
      <c r="F29" s="223">
        <f t="shared" si="18"/>
        <v>202120</v>
      </c>
      <c r="G29" s="223">
        <f t="shared" si="18"/>
        <v>201975</v>
      </c>
      <c r="H29" s="223">
        <f t="shared" si="18"/>
        <v>1050153</v>
      </c>
      <c r="I29" s="223">
        <f t="shared" si="18"/>
        <v>2164910</v>
      </c>
      <c r="J29" s="223">
        <f t="shared" si="18"/>
        <v>0</v>
      </c>
      <c r="K29" s="223">
        <f t="shared" si="18"/>
        <v>189999</v>
      </c>
      <c r="L29" s="223">
        <f t="shared" si="18"/>
        <v>1775584</v>
      </c>
      <c r="M29" s="223">
        <f t="shared" si="18"/>
        <v>1298914</v>
      </c>
      <c r="N29" s="223">
        <f t="shared" si="18"/>
        <v>0</v>
      </c>
      <c r="O29" s="223">
        <f t="shared" si="18"/>
        <v>0</v>
      </c>
      <c r="P29" s="223">
        <f t="shared" si="18"/>
        <v>990309</v>
      </c>
      <c r="Q29" s="223">
        <f t="shared" si="18"/>
        <v>0</v>
      </c>
      <c r="R29" s="223">
        <f t="shared" si="18"/>
        <v>1587510</v>
      </c>
      <c r="S29" s="223">
        <f t="shared" si="18"/>
        <v>100050</v>
      </c>
      <c r="T29" s="192"/>
      <c r="Y29" s="23" t="s">
        <v>11</v>
      </c>
      <c r="Z29" s="220">
        <f t="shared" si="13"/>
        <v>5.5965163803131754E-2</v>
      </c>
    </row>
    <row r="30" spans="1:26" s="6" customFormat="1" x14ac:dyDescent="0.25">
      <c r="A30" s="733" t="s">
        <v>946</v>
      </c>
      <c r="B30" s="733"/>
      <c r="C30" s="224">
        <f>C16+C19+C20+C22</f>
        <v>11378967</v>
      </c>
      <c r="D30" s="224">
        <f t="shared" ref="D30:S30" si="19">D16+D19+D20+D22</f>
        <v>0</v>
      </c>
      <c r="E30" s="224">
        <f t="shared" si="19"/>
        <v>0</v>
      </c>
      <c r="F30" s="224">
        <f t="shared" si="19"/>
        <v>1552592</v>
      </c>
      <c r="G30" s="224">
        <f t="shared" si="19"/>
        <v>322917</v>
      </c>
      <c r="H30" s="224">
        <f t="shared" si="19"/>
        <v>1033204</v>
      </c>
      <c r="I30" s="224">
        <f t="shared" si="19"/>
        <v>2504507</v>
      </c>
      <c r="J30" s="224">
        <f t="shared" si="19"/>
        <v>0</v>
      </c>
      <c r="K30" s="224">
        <f t="shared" si="19"/>
        <v>0</v>
      </c>
      <c r="L30" s="224">
        <f t="shared" si="19"/>
        <v>918153</v>
      </c>
      <c r="M30" s="224">
        <f t="shared" si="19"/>
        <v>961312</v>
      </c>
      <c r="N30" s="224">
        <f t="shared" si="19"/>
        <v>1254252</v>
      </c>
      <c r="O30" s="224">
        <f t="shared" si="19"/>
        <v>0</v>
      </c>
      <c r="P30" s="224">
        <f t="shared" si="19"/>
        <v>872940</v>
      </c>
      <c r="Q30" s="224">
        <f t="shared" si="19"/>
        <v>0</v>
      </c>
      <c r="R30" s="224">
        <f t="shared" si="19"/>
        <v>1719130</v>
      </c>
      <c r="S30" s="224">
        <f t="shared" si="19"/>
        <v>239960</v>
      </c>
      <c r="Y30" s="23" t="s">
        <v>818</v>
      </c>
      <c r="Z30" s="220">
        <f t="shared" si="13"/>
        <v>6.3777796979695147E-3</v>
      </c>
    </row>
    <row r="31" spans="1:26" s="6" customFormat="1" x14ac:dyDescent="0.25">
      <c r="A31" s="734" t="s">
        <v>947</v>
      </c>
      <c r="B31" s="734"/>
      <c r="C31" s="212">
        <f>C29-C30</f>
        <v>-799538</v>
      </c>
      <c r="D31" s="212">
        <f t="shared" ref="D31:S31" si="20">D29-D30</f>
        <v>4275</v>
      </c>
      <c r="E31" s="212">
        <f t="shared" si="20"/>
        <v>1013630</v>
      </c>
      <c r="F31" s="212">
        <f t="shared" si="20"/>
        <v>-1350472</v>
      </c>
      <c r="G31" s="212">
        <f t="shared" si="20"/>
        <v>-120942</v>
      </c>
      <c r="H31" s="212">
        <f t="shared" si="20"/>
        <v>16949</v>
      </c>
      <c r="I31" s="212">
        <f t="shared" si="20"/>
        <v>-339597</v>
      </c>
      <c r="J31" s="212">
        <f t="shared" si="20"/>
        <v>0</v>
      </c>
      <c r="K31" s="212">
        <f t="shared" si="20"/>
        <v>189999</v>
      </c>
      <c r="L31" s="212">
        <f t="shared" si="20"/>
        <v>857431</v>
      </c>
      <c r="M31" s="212">
        <f t="shared" si="20"/>
        <v>337602</v>
      </c>
      <c r="N31" s="212">
        <f t="shared" si="20"/>
        <v>-1254252</v>
      </c>
      <c r="O31" s="212">
        <f t="shared" si="20"/>
        <v>0</v>
      </c>
      <c r="P31" s="212">
        <f t="shared" si="20"/>
        <v>117369</v>
      </c>
      <c r="Q31" s="212">
        <f t="shared" si="20"/>
        <v>0</v>
      </c>
      <c r="R31" s="212">
        <f t="shared" si="20"/>
        <v>-131620</v>
      </c>
      <c r="S31" s="212">
        <f t="shared" si="20"/>
        <v>-139910</v>
      </c>
      <c r="Y31" s="23" t="s">
        <v>10</v>
      </c>
      <c r="Z31" s="220">
        <f t="shared" si="13"/>
        <v>0</v>
      </c>
    </row>
    <row r="32" spans="1:26" s="6" customFormat="1" ht="18.75" x14ac:dyDescent="0.3">
      <c r="A32" s="192"/>
      <c r="B32" s="192"/>
      <c r="C32" s="192"/>
      <c r="D32" s="192"/>
      <c r="E32" s="192"/>
      <c r="F32" s="192"/>
      <c r="G32" s="192"/>
      <c r="H32" s="192"/>
      <c r="I32" s="192"/>
      <c r="J32" s="192"/>
      <c r="K32" s="192"/>
      <c r="L32" s="192"/>
      <c r="M32" s="192"/>
      <c r="N32" s="192"/>
      <c r="O32" s="192"/>
      <c r="P32" s="192"/>
      <c r="Q32" s="192"/>
      <c r="R32" s="192"/>
      <c r="S32" s="192"/>
      <c r="Z32" s="221">
        <f>SUM(Z23:Z31)</f>
        <v>1</v>
      </c>
    </row>
    <row r="33" spans="1:26" s="6" customFormat="1" ht="18.75" x14ac:dyDescent="0.3">
      <c r="A33" s="27"/>
      <c r="B33" s="748" t="s">
        <v>821</v>
      </c>
      <c r="C33" s="167" t="s">
        <v>819</v>
      </c>
      <c r="D33" s="189">
        <v>4054112</v>
      </c>
      <c r="E33" s="189">
        <v>3430112</v>
      </c>
      <c r="F33" s="189">
        <v>3430112</v>
      </c>
      <c r="G33" s="189">
        <v>3430112</v>
      </c>
      <c r="H33" s="189">
        <v>3865001</v>
      </c>
      <c r="I33" s="189">
        <v>4330001</v>
      </c>
      <c r="J33" s="189">
        <v>4330001</v>
      </c>
      <c r="K33" s="189">
        <v>4330001</v>
      </c>
      <c r="L33" s="189">
        <v>4239001</v>
      </c>
      <c r="M33" s="189">
        <v>3864001</v>
      </c>
      <c r="N33" s="189">
        <v>4114001</v>
      </c>
      <c r="O33" s="189">
        <v>4114001</v>
      </c>
      <c r="P33" s="189">
        <v>3214001</v>
      </c>
      <c r="Q33" s="189">
        <v>3214001</v>
      </c>
      <c r="R33" s="189">
        <v>4202001</v>
      </c>
      <c r="S33" s="189">
        <v>4202001</v>
      </c>
      <c r="Y33" s="746">
        <f>C23</f>
        <v>13609752</v>
      </c>
      <c r="Z33" s="747"/>
    </row>
    <row r="34" spans="1:26" x14ac:dyDescent="0.25">
      <c r="A34" s="27"/>
      <c r="B34" s="748"/>
      <c r="C34" s="167" t="s">
        <v>481</v>
      </c>
      <c r="D34" s="189">
        <v>6001835</v>
      </c>
      <c r="E34" s="189">
        <v>6001835</v>
      </c>
      <c r="F34" s="189">
        <v>6913833</v>
      </c>
      <c r="G34" s="189">
        <v>7033834</v>
      </c>
      <c r="H34" s="189">
        <v>7033834</v>
      </c>
      <c r="I34" s="189">
        <v>7358834</v>
      </c>
      <c r="J34" s="189">
        <v>7358834</v>
      </c>
      <c r="K34" s="189">
        <v>7358834</v>
      </c>
      <c r="L34" s="189">
        <v>7601834</v>
      </c>
      <c r="M34" s="189">
        <v>7601834</v>
      </c>
      <c r="N34" s="189">
        <v>8601834</v>
      </c>
      <c r="O34" s="189">
        <v>8601834</v>
      </c>
      <c r="P34" s="189">
        <v>9468834</v>
      </c>
      <c r="Q34" s="189">
        <v>9468834</v>
      </c>
      <c r="R34" s="189">
        <v>9468834</v>
      </c>
      <c r="S34" s="189">
        <v>9468834</v>
      </c>
    </row>
    <row r="35" spans="1:26" x14ac:dyDescent="0.25">
      <c r="A35" s="27"/>
      <c r="B35" s="748"/>
      <c r="C35" s="167" t="s">
        <v>997</v>
      </c>
      <c r="D35" s="189">
        <v>0</v>
      </c>
      <c r="E35" s="189">
        <v>0</v>
      </c>
      <c r="F35" s="189">
        <v>0</v>
      </c>
      <c r="G35" s="189">
        <v>0</v>
      </c>
      <c r="H35" s="189">
        <v>0</v>
      </c>
      <c r="I35" s="189">
        <v>0</v>
      </c>
      <c r="J35" s="189">
        <v>0</v>
      </c>
      <c r="K35" s="189">
        <v>0</v>
      </c>
      <c r="L35" s="189">
        <v>0</v>
      </c>
      <c r="M35" s="189">
        <v>0</v>
      </c>
      <c r="N35" s="189">
        <v>0</v>
      </c>
      <c r="O35" s="189">
        <v>0</v>
      </c>
      <c r="P35" s="189">
        <v>0</v>
      </c>
      <c r="Q35" s="189">
        <v>0</v>
      </c>
      <c r="R35" s="189">
        <v>0</v>
      </c>
      <c r="S35" s="189">
        <v>237040</v>
      </c>
    </row>
    <row r="36" spans="1:26" x14ac:dyDescent="0.25">
      <c r="A36" s="27"/>
      <c r="B36" s="748"/>
      <c r="C36" s="299" t="s">
        <v>291</v>
      </c>
      <c r="D36" s="300">
        <f>D35+D34+D33</f>
        <v>10055947</v>
      </c>
      <c r="E36" s="300">
        <f t="shared" ref="E36:S36" si="21">E35+E34+E33</f>
        <v>9431947</v>
      </c>
      <c r="F36" s="300">
        <f t="shared" si="21"/>
        <v>10343945</v>
      </c>
      <c r="G36" s="300">
        <f t="shared" si="21"/>
        <v>10463946</v>
      </c>
      <c r="H36" s="300">
        <f t="shared" si="21"/>
        <v>10898835</v>
      </c>
      <c r="I36" s="300">
        <f t="shared" si="21"/>
        <v>11688835</v>
      </c>
      <c r="J36" s="300">
        <f t="shared" si="21"/>
        <v>11688835</v>
      </c>
      <c r="K36" s="300">
        <f t="shared" si="21"/>
        <v>11688835</v>
      </c>
      <c r="L36" s="300">
        <f t="shared" si="21"/>
        <v>11840835</v>
      </c>
      <c r="M36" s="300">
        <f t="shared" si="21"/>
        <v>11465835</v>
      </c>
      <c r="N36" s="300">
        <f t="shared" si="21"/>
        <v>12715835</v>
      </c>
      <c r="O36" s="300">
        <f t="shared" si="21"/>
        <v>12715835</v>
      </c>
      <c r="P36" s="300">
        <f t="shared" si="21"/>
        <v>12682835</v>
      </c>
      <c r="Q36" s="300">
        <f t="shared" si="21"/>
        <v>12682835</v>
      </c>
      <c r="R36" s="300">
        <f t="shared" si="21"/>
        <v>13670835</v>
      </c>
      <c r="S36" s="300">
        <f t="shared" si="21"/>
        <v>13907875</v>
      </c>
    </row>
    <row r="37" spans="1:26" x14ac:dyDescent="0.25">
      <c r="C37" s="192"/>
      <c r="D37" s="247"/>
      <c r="E37" s="247"/>
      <c r="F37" s="247"/>
      <c r="G37" s="247"/>
      <c r="H37" s="247"/>
      <c r="I37" s="247"/>
      <c r="J37" s="247"/>
      <c r="K37" s="247"/>
      <c r="L37" s="247"/>
      <c r="M37" s="247"/>
      <c r="N37" s="247"/>
      <c r="O37" s="247"/>
      <c r="P37" s="247"/>
      <c r="Q37" s="247"/>
      <c r="R37" s="247"/>
      <c r="S37" s="247"/>
    </row>
    <row r="38" spans="1:26" x14ac:dyDescent="0.25">
      <c r="H38" s="301"/>
      <c r="I38" s="301"/>
      <c r="J38"/>
      <c r="K38"/>
    </row>
    <row r="39" spans="1:26" ht="15" customHeight="1" x14ac:dyDescent="0.25">
      <c r="H39" s="301"/>
      <c r="I39" s="18"/>
      <c r="J39"/>
      <c r="K39"/>
    </row>
    <row r="40" spans="1:26" ht="15" customHeight="1" x14ac:dyDescent="0.25">
      <c r="H40" s="731"/>
      <c r="I40" s="731"/>
      <c r="J40" s="731"/>
      <c r="K40" s="731"/>
    </row>
    <row r="41" spans="1:26" x14ac:dyDescent="0.25">
      <c r="H41" s="301"/>
      <c r="I41" s="301"/>
      <c r="J41" s="301"/>
      <c r="K41" s="301"/>
    </row>
    <row r="42" spans="1:26" x14ac:dyDescent="0.25">
      <c r="H42" s="301"/>
      <c r="I42" s="301"/>
      <c r="J42" s="301"/>
      <c r="K42" s="301"/>
    </row>
    <row r="43" spans="1:26" x14ac:dyDescent="0.25">
      <c r="H43" s="301"/>
      <c r="I43" s="301"/>
      <c r="J43" s="301"/>
      <c r="K43" s="301"/>
    </row>
    <row r="44" spans="1:26" x14ac:dyDescent="0.25">
      <c r="H44" s="301"/>
      <c r="I44" s="301"/>
      <c r="J44" s="301"/>
      <c r="K44" s="301"/>
    </row>
    <row r="45" spans="1:26" x14ac:dyDescent="0.25">
      <c r="H45" s="301"/>
      <c r="I45" s="301"/>
      <c r="J45" s="301"/>
      <c r="K45" s="301"/>
    </row>
    <row r="46" spans="1:26" x14ac:dyDescent="0.25">
      <c r="H46" s="301"/>
      <c r="I46" s="301"/>
      <c r="J46" s="301"/>
      <c r="K46" s="301"/>
    </row>
    <row r="47" spans="1:26" x14ac:dyDescent="0.25">
      <c r="H47" s="301"/>
      <c r="I47" s="301"/>
      <c r="J47" s="301"/>
      <c r="K47" s="301"/>
    </row>
    <row r="48" spans="1:26" x14ac:dyDescent="0.25">
      <c r="H48" s="301"/>
      <c r="I48" s="301"/>
      <c r="J48" s="301"/>
      <c r="K48" s="301"/>
    </row>
    <row r="49" spans="8:11" x14ac:dyDescent="0.25">
      <c r="H49" s="727"/>
      <c r="I49" s="727"/>
      <c r="J49" s="727"/>
      <c r="K49" s="727"/>
    </row>
    <row r="50" spans="8:11" x14ac:dyDescent="0.25">
      <c r="H50" s="301"/>
      <c r="I50" s="301"/>
      <c r="J50" s="301"/>
      <c r="K50" s="301"/>
    </row>
    <row r="51" spans="8:11" x14ac:dyDescent="0.25">
      <c r="H51" s="727"/>
      <c r="I51" s="727"/>
      <c r="J51" s="727"/>
      <c r="K51" s="727"/>
    </row>
    <row r="52" spans="8:11" ht="15" customHeight="1" x14ac:dyDescent="0.25">
      <c r="H52" s="727"/>
      <c r="I52" s="727"/>
      <c r="J52" s="727"/>
      <c r="K52" s="4"/>
    </row>
  </sheetData>
  <mergeCells count="15">
    <mergeCell ref="Y33:Z33"/>
    <mergeCell ref="H40:I40"/>
    <mergeCell ref="J40:K40"/>
    <mergeCell ref="A11:A12"/>
    <mergeCell ref="Y14:Z14"/>
    <mergeCell ref="A26:B26"/>
    <mergeCell ref="A27:B27"/>
    <mergeCell ref="A28:B28"/>
    <mergeCell ref="A29:B29"/>
    <mergeCell ref="H49:K49"/>
    <mergeCell ref="H51:K51"/>
    <mergeCell ref="H52:J52"/>
    <mergeCell ref="A30:B30"/>
    <mergeCell ref="A31:B31"/>
    <mergeCell ref="B33:B36"/>
  </mergeCells>
  <pageMargins left="0.7" right="0.7" top="0.75" bottom="0.75" header="0.3" footer="0.3"/>
  <pageSetup paperSize="9" orientation="portrait" horizontalDpi="200" verticalDpi="20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P53"/>
  <sheetViews>
    <sheetView zoomScale="80" zoomScaleNormal="80" workbookViewId="0">
      <pane xSplit="9" ySplit="2" topLeftCell="J6" activePane="bottomRight" state="frozen"/>
      <selection pane="topRight" activeCell="J1" sqref="J1"/>
      <selection pane="bottomLeft" activeCell="A3" sqref="A3"/>
      <selection pane="bottomRight" activeCell="J21" sqref="J21"/>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23.5703125" bestFit="1" customWidth="1"/>
    <col min="6" max="6" width="18" style="225" bestFit="1" customWidth="1"/>
    <col min="7" max="7" width="6.5703125" style="225" bestFit="1" customWidth="1"/>
    <col min="8" max="8" width="6" customWidth="1"/>
    <col min="9" max="9" width="4.85546875" bestFit="1" customWidth="1"/>
    <col min="10" max="13" width="12.85546875" bestFit="1" customWidth="1"/>
    <col min="14" max="14" width="14" bestFit="1" customWidth="1"/>
    <col min="15" max="15" width="12.85546875" bestFit="1" customWidth="1"/>
    <col min="16" max="16" width="13.7109375" bestFit="1" customWidth="1"/>
  </cols>
  <sheetData>
    <row r="1" spans="2:16" ht="21" x14ac:dyDescent="0.35">
      <c r="B1" s="735" t="s">
        <v>1238</v>
      </c>
      <c r="C1" s="736"/>
      <c r="D1" s="736"/>
      <c r="E1" s="736"/>
      <c r="F1" s="736"/>
      <c r="G1" s="274"/>
      <c r="I1" s="750" t="s">
        <v>1294</v>
      </c>
      <c r="J1" s="751"/>
      <c r="K1" s="751"/>
      <c r="L1" s="751"/>
      <c r="M1" s="751"/>
      <c r="N1" s="751"/>
      <c r="O1" s="751"/>
      <c r="P1" s="751"/>
    </row>
    <row r="2" spans="2:16" x14ac:dyDescent="0.25">
      <c r="B2" s="749" t="s">
        <v>1025</v>
      </c>
      <c r="C2" s="749"/>
      <c r="D2" s="749"/>
      <c r="E2" s="749"/>
      <c r="F2" s="749"/>
      <c r="G2" s="749"/>
      <c r="I2" s="17" t="s">
        <v>36</v>
      </c>
      <c r="J2" s="17" t="s">
        <v>481</v>
      </c>
      <c r="K2" s="17" t="s">
        <v>50</v>
      </c>
      <c r="L2" s="17" t="s">
        <v>1141</v>
      </c>
      <c r="M2" s="17" t="s">
        <v>879</v>
      </c>
      <c r="N2" s="17" t="s">
        <v>1027</v>
      </c>
      <c r="O2" s="17" t="s">
        <v>1002</v>
      </c>
      <c r="P2" s="17" t="s">
        <v>1007</v>
      </c>
    </row>
    <row r="3" spans="2:16" ht="18.75" x14ac:dyDescent="0.3">
      <c r="B3" s="737" t="s">
        <v>948</v>
      </c>
      <c r="C3" s="738"/>
      <c r="D3" s="268"/>
      <c r="E3" s="739" t="s">
        <v>949</v>
      </c>
      <c r="F3" s="738"/>
      <c r="G3" s="268"/>
      <c r="I3" s="11" t="s">
        <v>1006</v>
      </c>
      <c r="J3" s="11" t="s">
        <v>1243</v>
      </c>
      <c r="K3" s="15">
        <v>1450000</v>
      </c>
      <c r="L3" s="15">
        <v>0</v>
      </c>
      <c r="M3" s="15">
        <v>0</v>
      </c>
      <c r="N3" s="15">
        <v>0</v>
      </c>
      <c r="O3" s="15">
        <f t="shared" ref="O3:O10" si="0">IF(M3=0,0,M3-K3)-N3</f>
        <v>0</v>
      </c>
      <c r="P3" s="15">
        <f t="shared" ref="P3:P33" si="1">IF(M3=0,K3,0)</f>
        <v>1450000</v>
      </c>
    </row>
    <row r="4" spans="2:16" x14ac:dyDescent="0.25">
      <c r="B4" s="243"/>
      <c r="C4" s="244"/>
      <c r="D4" s="269"/>
      <c r="E4" s="254"/>
      <c r="F4" s="280"/>
      <c r="G4" s="269"/>
      <c r="I4" s="11" t="s">
        <v>1006</v>
      </c>
      <c r="J4" s="11" t="s">
        <v>1213</v>
      </c>
      <c r="K4" s="15">
        <v>1150000</v>
      </c>
      <c r="L4" s="15">
        <v>0</v>
      </c>
      <c r="M4" s="15">
        <v>0</v>
      </c>
      <c r="N4" s="15">
        <v>0</v>
      </c>
      <c r="O4" s="15">
        <f t="shared" si="0"/>
        <v>0</v>
      </c>
      <c r="P4" s="15">
        <f t="shared" si="1"/>
        <v>1150000</v>
      </c>
    </row>
    <row r="5" spans="2:16" x14ac:dyDescent="0.25">
      <c r="B5" s="226" t="s">
        <v>951</v>
      </c>
      <c r="C5" s="242">
        <f>SUM(C6:C8)</f>
        <v>2389597</v>
      </c>
      <c r="D5" s="271">
        <f>C5/$C$33</f>
        <v>7.8542217020543134E-2</v>
      </c>
      <c r="E5" s="255" t="s">
        <v>1033</v>
      </c>
      <c r="F5" s="281">
        <f>F6+F7+F8</f>
        <v>11796847</v>
      </c>
      <c r="G5" s="271">
        <f>F5/$F$33</f>
        <v>0.38774342168664561</v>
      </c>
      <c r="I5" s="11" t="s">
        <v>1004</v>
      </c>
      <c r="J5" s="11" t="s">
        <v>1250</v>
      </c>
      <c r="K5" s="15">
        <v>875000</v>
      </c>
      <c r="L5" s="15">
        <v>0</v>
      </c>
      <c r="M5" s="15">
        <v>1423000</v>
      </c>
      <c r="N5" s="15">
        <f>M5-1298914</f>
        <v>124086</v>
      </c>
      <c r="O5" s="15">
        <f t="shared" si="0"/>
        <v>423914</v>
      </c>
      <c r="P5" s="15">
        <f t="shared" si="1"/>
        <v>0</v>
      </c>
    </row>
    <row r="6" spans="2:16" x14ac:dyDescent="0.25">
      <c r="B6" s="249" t="s">
        <v>30</v>
      </c>
      <c r="C6" s="250">
        <f>'A-P_T37'!C6+EconomiaT38!C16</f>
        <v>1580925</v>
      </c>
      <c r="D6" s="272">
        <f>C6/$C$33</f>
        <v>5.1962466659943987E-2</v>
      </c>
      <c r="E6" s="256" t="s">
        <v>1029</v>
      </c>
      <c r="F6" s="282">
        <v>300000</v>
      </c>
      <c r="G6" s="272">
        <f>F6/$F$33</f>
        <v>9.8605183661357714E-3</v>
      </c>
      <c r="I6" s="11" t="s">
        <v>1006</v>
      </c>
      <c r="J6" s="11" t="s">
        <v>985</v>
      </c>
      <c r="K6" s="15">
        <v>765000</v>
      </c>
      <c r="L6" s="15">
        <v>0</v>
      </c>
      <c r="M6" s="15">
        <v>825999</v>
      </c>
      <c r="N6" s="15">
        <f>M6-768179</f>
        <v>57820</v>
      </c>
      <c r="O6" s="15">
        <f t="shared" si="0"/>
        <v>3179</v>
      </c>
      <c r="P6" s="15">
        <f t="shared" si="1"/>
        <v>0</v>
      </c>
    </row>
    <row r="7" spans="2:16" x14ac:dyDescent="0.25">
      <c r="B7" s="249" t="s">
        <v>11</v>
      </c>
      <c r="C7" s="250">
        <f>'A-P_T37'!C7+EconomiaT38!C20+K21</f>
        <v>1224472</v>
      </c>
      <c r="D7" s="272">
        <f>C7/$C$33</f>
        <v>4.0246428816063336E-2</v>
      </c>
      <c r="E7" s="256" t="s">
        <v>1144</v>
      </c>
      <c r="F7" s="282">
        <f>'A-P_T37'!F7+'A-P_T37'!F8</f>
        <v>6226403</v>
      </c>
      <c r="G7" s="272">
        <f>F7/$F$33</f>
        <v>0.20465187045487623</v>
      </c>
      <c r="I7" s="11" t="s">
        <v>1006</v>
      </c>
      <c r="J7" s="11" t="s">
        <v>1143</v>
      </c>
      <c r="K7" s="15">
        <v>628111</v>
      </c>
      <c r="L7" s="15">
        <v>0</v>
      </c>
      <c r="M7" s="15">
        <v>0</v>
      </c>
      <c r="N7" s="15">
        <v>0</v>
      </c>
      <c r="O7" s="15">
        <f t="shared" si="0"/>
        <v>0</v>
      </c>
      <c r="P7" s="15">
        <f t="shared" si="1"/>
        <v>628111</v>
      </c>
    </row>
    <row r="8" spans="2:16" x14ac:dyDescent="0.25">
      <c r="B8" s="245" t="s">
        <v>1026</v>
      </c>
      <c r="C8" s="248">
        <v>-415800</v>
      </c>
      <c r="D8" s="272">
        <f>C8/$C$33</f>
        <v>-1.366667845546418E-2</v>
      </c>
      <c r="E8" s="256" t="s">
        <v>1239</v>
      </c>
      <c r="F8" s="282">
        <f>'A-P_T37'!F10+727486+K21-778278</f>
        <v>5270444</v>
      </c>
      <c r="G8" s="272">
        <f>F8/$F$33</f>
        <v>0.1732310328656336</v>
      </c>
      <c r="I8" s="11" t="s">
        <v>1004</v>
      </c>
      <c r="J8" s="11" t="s">
        <v>956</v>
      </c>
      <c r="K8" s="15">
        <v>624000</v>
      </c>
      <c r="L8" s="15">
        <v>0</v>
      </c>
      <c r="M8" s="15">
        <v>1041000</v>
      </c>
      <c r="N8" s="15">
        <v>72870</v>
      </c>
      <c r="O8" s="15">
        <f t="shared" si="0"/>
        <v>344130</v>
      </c>
      <c r="P8" s="15">
        <f t="shared" si="1"/>
        <v>0</v>
      </c>
    </row>
    <row r="9" spans="2:16" x14ac:dyDescent="0.25">
      <c r="B9" s="228"/>
      <c r="C9" s="227"/>
      <c r="D9" s="271"/>
      <c r="E9" s="257"/>
      <c r="F9" s="251"/>
      <c r="G9" s="271"/>
      <c r="I9" s="11" t="s">
        <v>1004</v>
      </c>
      <c r="J9" s="11" t="s">
        <v>1209</v>
      </c>
      <c r="K9" s="15">
        <v>612000</v>
      </c>
      <c r="L9" s="15">
        <v>0</v>
      </c>
      <c r="M9" s="15">
        <v>1199999</v>
      </c>
      <c r="N9" s="15">
        <f>M9-1115999</f>
        <v>84000</v>
      </c>
      <c r="O9" s="15">
        <f t="shared" si="0"/>
        <v>503999</v>
      </c>
      <c r="P9" s="15">
        <f t="shared" si="1"/>
        <v>0</v>
      </c>
    </row>
    <row r="10" spans="2:16" x14ac:dyDescent="0.25">
      <c r="B10" s="226" t="s">
        <v>481</v>
      </c>
      <c r="C10" s="242">
        <f>SUM(C11:C14)</f>
        <v>13911153</v>
      </c>
      <c r="D10" s="271">
        <f>C10/$C$33</f>
        <v>0.45723726550208249</v>
      </c>
      <c r="E10" s="255" t="s">
        <v>950</v>
      </c>
      <c r="F10" s="281">
        <f>SUM(F11:F15)+C8</f>
        <v>5065679</v>
      </c>
      <c r="G10" s="271">
        <f t="shared" ref="G10:G15" si="2">F10/$F$33</f>
        <v>0.16650073605482762</v>
      </c>
      <c r="I10" s="11" t="s">
        <v>1004</v>
      </c>
      <c r="J10" s="11" t="s">
        <v>1219</v>
      </c>
      <c r="K10" s="15">
        <v>595111</v>
      </c>
      <c r="L10" s="15">
        <v>0</v>
      </c>
      <c r="M10" s="15">
        <v>937000</v>
      </c>
      <c r="N10" s="15">
        <v>75897</v>
      </c>
      <c r="O10" s="15">
        <f t="shared" si="0"/>
        <v>265992</v>
      </c>
      <c r="P10" s="15">
        <f t="shared" si="1"/>
        <v>0</v>
      </c>
    </row>
    <row r="11" spans="2:16" x14ac:dyDescent="0.25">
      <c r="B11" s="231" t="s">
        <v>998</v>
      </c>
      <c r="C11" s="232">
        <f>SUMIF(I3:I82,"C",$P$3:$P$82)</f>
        <v>0</v>
      </c>
      <c r="D11" s="272">
        <f>C11/$C$33</f>
        <v>0</v>
      </c>
      <c r="E11" s="259" t="s">
        <v>1194</v>
      </c>
      <c r="F11" s="283">
        <f>SUMIF(I3:I87,"J",$O$3:$O$87)</f>
        <v>-99130</v>
      </c>
      <c r="G11" s="272">
        <f t="shared" si="2"/>
        <v>-3.2582439521167969E-3</v>
      </c>
      <c r="I11" s="11" t="s">
        <v>1006</v>
      </c>
      <c r="J11" s="11" t="s">
        <v>1221</v>
      </c>
      <c r="K11" s="15">
        <v>555000</v>
      </c>
      <c r="L11" s="15">
        <v>0</v>
      </c>
      <c r="M11" s="15">
        <v>0</v>
      </c>
      <c r="N11" s="15">
        <v>0</v>
      </c>
      <c r="O11" s="15">
        <v>0</v>
      </c>
      <c r="P11" s="15">
        <f t="shared" si="1"/>
        <v>555000</v>
      </c>
    </row>
    <row r="12" spans="2:16" x14ac:dyDescent="0.25">
      <c r="B12" s="231" t="s">
        <v>481</v>
      </c>
      <c r="C12" s="232">
        <f>SUMIF(I3:I77,"J",$P$3:$P$77)</f>
        <v>9472112</v>
      </c>
      <c r="D12" s="272">
        <f>C12/$C$33</f>
        <v>0.31133311447365014</v>
      </c>
      <c r="E12" s="259" t="s">
        <v>1195</v>
      </c>
      <c r="F12" s="283">
        <f>SUMIF(I3:I87,"C",$O$3:$O$87)</f>
        <v>885400</v>
      </c>
      <c r="G12" s="272">
        <f t="shared" si="2"/>
        <v>2.910167653792204E-2</v>
      </c>
      <c r="I12" s="11" t="s">
        <v>1004</v>
      </c>
      <c r="J12" s="34" t="s">
        <v>1039</v>
      </c>
      <c r="K12" s="15">
        <v>500000</v>
      </c>
      <c r="L12" s="15">
        <v>0</v>
      </c>
      <c r="M12" s="15">
        <v>0</v>
      </c>
      <c r="N12" s="15">
        <v>0</v>
      </c>
      <c r="O12" s="15">
        <f t="shared" ref="O12:O33" si="3">IF(M12=0,0,M12-K12)-N12</f>
        <v>0</v>
      </c>
      <c r="P12" s="15">
        <f t="shared" si="1"/>
        <v>500000</v>
      </c>
    </row>
    <row r="13" spans="2:16" x14ac:dyDescent="0.25">
      <c r="B13" s="231" t="s">
        <v>819</v>
      </c>
      <c r="C13" s="232">
        <f>SUMIF(I3:I77,"E",$P$3:$P$77)</f>
        <v>4202001</v>
      </c>
      <c r="D13" s="272">
        <f>C13/$C$33</f>
        <v>0.13811302678340293</v>
      </c>
      <c r="E13" s="259" t="s">
        <v>1196</v>
      </c>
      <c r="F13" s="283">
        <f>SUMIF(I3:I87,"E",$O$3:$O$87)</f>
        <v>3336451</v>
      </c>
      <c r="G13" s="272">
        <f t="shared" si="2"/>
        <v>0.10966378787737355</v>
      </c>
      <c r="I13" s="11" t="s">
        <v>1006</v>
      </c>
      <c r="J13" s="11" t="s">
        <v>1224</v>
      </c>
      <c r="K13" s="15">
        <v>499999</v>
      </c>
      <c r="L13" s="15">
        <v>0</v>
      </c>
      <c r="M13" s="15">
        <v>579999</v>
      </c>
      <c r="N13" s="15">
        <f>M13-529133</f>
        <v>50866</v>
      </c>
      <c r="O13" s="15">
        <f t="shared" si="3"/>
        <v>29134</v>
      </c>
      <c r="P13" s="15">
        <f t="shared" si="1"/>
        <v>0</v>
      </c>
    </row>
    <row r="14" spans="2:16" x14ac:dyDescent="0.25">
      <c r="B14" s="231" t="s">
        <v>997</v>
      </c>
      <c r="C14" s="232">
        <f>SUMIF(I3:I77,"M",$P$3:$P$77)</f>
        <v>237040</v>
      </c>
      <c r="D14" s="272">
        <f>C14/$C$33</f>
        <v>7.7911242450294117E-3</v>
      </c>
      <c r="E14" s="259" t="s">
        <v>1197</v>
      </c>
      <c r="F14" s="283">
        <f>SUMIF(I3:I87,"M",$O$3:$O$87)</f>
        <v>0</v>
      </c>
      <c r="G14" s="272">
        <f t="shared" si="2"/>
        <v>0</v>
      </c>
      <c r="I14" s="11" t="s">
        <v>1004</v>
      </c>
      <c r="J14" s="11" t="s">
        <v>1223</v>
      </c>
      <c r="K14" s="15">
        <v>435000</v>
      </c>
      <c r="L14" s="15">
        <v>0</v>
      </c>
      <c r="M14" s="15">
        <v>951000</v>
      </c>
      <c r="N14" s="15">
        <f>M14-867597</f>
        <v>83403</v>
      </c>
      <c r="O14" s="15">
        <f t="shared" si="3"/>
        <v>432597</v>
      </c>
      <c r="P14" s="15">
        <f t="shared" si="1"/>
        <v>0</v>
      </c>
    </row>
    <row r="15" spans="2:16" x14ac:dyDescent="0.25">
      <c r="B15" s="235"/>
      <c r="C15" s="236"/>
      <c r="D15" s="271"/>
      <c r="E15" s="288" t="s">
        <v>1193</v>
      </c>
      <c r="F15" s="289">
        <f>C21-F21</f>
        <v>1358758</v>
      </c>
      <c r="G15" s="272">
        <f t="shared" si="2"/>
        <v>4.4660194047113029E-2</v>
      </c>
      <c r="I15" s="11" t="s">
        <v>1006</v>
      </c>
      <c r="J15" s="11" t="s">
        <v>981</v>
      </c>
      <c r="K15" s="15">
        <v>326001</v>
      </c>
      <c r="L15" s="15">
        <v>0</v>
      </c>
      <c r="M15" s="15">
        <v>215000</v>
      </c>
      <c r="N15" s="15">
        <v>15050</v>
      </c>
      <c r="O15" s="15">
        <f t="shared" si="3"/>
        <v>-126051</v>
      </c>
      <c r="P15" s="15">
        <f t="shared" si="1"/>
        <v>0</v>
      </c>
    </row>
    <row r="16" spans="2:16" x14ac:dyDescent="0.25">
      <c r="B16" s="226" t="s">
        <v>48</v>
      </c>
      <c r="C16" s="260">
        <f>C17+C18</f>
        <v>10422834</v>
      </c>
      <c r="D16" s="271">
        <f>C16/$C$33</f>
        <v>0.34258182028061457</v>
      </c>
      <c r="E16" s="50"/>
      <c r="F16" s="251"/>
      <c r="G16" s="270"/>
      <c r="I16" s="11" t="s">
        <v>1004</v>
      </c>
      <c r="J16" s="11" t="s">
        <v>993</v>
      </c>
      <c r="K16" s="15">
        <v>312000</v>
      </c>
      <c r="L16" s="15">
        <v>0</v>
      </c>
      <c r="M16" s="15">
        <v>1707000</v>
      </c>
      <c r="N16" s="15">
        <f>M16-1587510</f>
        <v>119490</v>
      </c>
      <c r="O16" s="15">
        <f t="shared" si="3"/>
        <v>1275510</v>
      </c>
      <c r="P16" s="15">
        <f t="shared" si="1"/>
        <v>0</v>
      </c>
    </row>
    <row r="17" spans="2:16" x14ac:dyDescent="0.25">
      <c r="B17" s="231" t="s">
        <v>48</v>
      </c>
      <c r="C17" s="232">
        <f>SUM(M3:M96)</f>
        <v>11287997</v>
      </c>
      <c r="D17" s="272">
        <f>C17/$C$33</f>
        <v>0.37101833911795168</v>
      </c>
      <c r="E17" s="255" t="s">
        <v>1034</v>
      </c>
      <c r="F17" s="285">
        <f>F18+F19</f>
        <v>10913713</v>
      </c>
      <c r="G17" s="271">
        <f>F17/$F$33</f>
        <v>0.35871622493078242</v>
      </c>
      <c r="I17" s="11" t="s">
        <v>1006</v>
      </c>
      <c r="J17" s="11" t="s">
        <v>1217</v>
      </c>
      <c r="K17" s="15">
        <v>275000</v>
      </c>
      <c r="L17" s="15">
        <v>0</v>
      </c>
      <c r="M17" s="15">
        <v>0</v>
      </c>
      <c r="N17" s="15">
        <v>0</v>
      </c>
      <c r="O17" s="15">
        <f t="shared" si="3"/>
        <v>0</v>
      </c>
      <c r="P17" s="15">
        <f t="shared" si="1"/>
        <v>275000</v>
      </c>
    </row>
    <row r="18" spans="2:16" x14ac:dyDescent="0.25">
      <c r="B18" s="245" t="s">
        <v>5</v>
      </c>
      <c r="C18" s="248">
        <f>SUM(N3:N78)*-1</f>
        <v>-865163</v>
      </c>
      <c r="D18" s="272">
        <f>C18/$C$33</f>
        <v>-2.8436518837337076E-2</v>
      </c>
      <c r="E18" s="277" t="s">
        <v>50</v>
      </c>
      <c r="F18" s="286">
        <f>EconomiaT38!C19+EconomiaT38!C20</f>
        <v>10961627</v>
      </c>
      <c r="G18" s="272">
        <f>F18/$F$33</f>
        <v>0.36029108118743253</v>
      </c>
      <c r="I18" s="11" t="s">
        <v>1006</v>
      </c>
      <c r="J18" s="11" t="s">
        <v>1146</v>
      </c>
      <c r="K18" s="15">
        <v>200000</v>
      </c>
      <c r="L18" s="15">
        <v>0</v>
      </c>
      <c r="M18" s="15">
        <v>215000</v>
      </c>
      <c r="N18" s="15">
        <f>M18-199950</f>
        <v>15050</v>
      </c>
      <c r="O18" s="15">
        <f t="shared" si="3"/>
        <v>-50</v>
      </c>
      <c r="P18" s="15">
        <f t="shared" si="1"/>
        <v>0</v>
      </c>
    </row>
    <row r="19" spans="2:16" x14ac:dyDescent="0.25">
      <c r="B19" s="235"/>
      <c r="C19" s="236"/>
      <c r="D19" s="272"/>
      <c r="E19" s="252" t="s">
        <v>1140</v>
      </c>
      <c r="F19" s="284">
        <f>SUM(L3:L87)*-1</f>
        <v>-47914</v>
      </c>
      <c r="G19" s="272">
        <f>F19/$F$33</f>
        <v>-1.574856256650098E-3</v>
      </c>
      <c r="I19" s="11" t="s">
        <v>1006</v>
      </c>
      <c r="J19" s="11" t="s">
        <v>1210</v>
      </c>
      <c r="K19" s="15">
        <v>150001</v>
      </c>
      <c r="L19" s="15">
        <v>0</v>
      </c>
      <c r="M19" s="15">
        <v>161999</v>
      </c>
      <c r="N19" s="15">
        <f>M19-150659</f>
        <v>11340</v>
      </c>
      <c r="O19" s="15">
        <f t="shared" si="3"/>
        <v>658</v>
      </c>
      <c r="P19" s="15">
        <f t="shared" si="1"/>
        <v>0</v>
      </c>
    </row>
    <row r="20" spans="2:16" x14ac:dyDescent="0.25">
      <c r="B20" s="235"/>
      <c r="C20" s="236"/>
      <c r="D20" s="271"/>
      <c r="E20" s="255"/>
      <c r="F20" s="281"/>
      <c r="G20" s="271"/>
      <c r="I20" s="11" t="s">
        <v>1004</v>
      </c>
      <c r="J20" s="11" t="s">
        <v>1015</v>
      </c>
      <c r="K20" s="15">
        <v>101001</v>
      </c>
      <c r="L20" s="15">
        <v>0</v>
      </c>
      <c r="M20" s="15">
        <v>0</v>
      </c>
      <c r="N20" s="15">
        <v>0</v>
      </c>
      <c r="O20" s="15">
        <f t="shared" si="3"/>
        <v>0</v>
      </c>
      <c r="P20" s="15">
        <f t="shared" si="1"/>
        <v>101001</v>
      </c>
    </row>
    <row r="21" spans="2:16" x14ac:dyDescent="0.25">
      <c r="B21" s="226" t="s">
        <v>1031</v>
      </c>
      <c r="C21" s="242">
        <f>SUM(C22:C26)</f>
        <v>3589543</v>
      </c>
      <c r="D21" s="271">
        <f t="shared" ref="D21:D26" si="4">C21/$C$33</f>
        <v>0.11798251559178033</v>
      </c>
      <c r="E21" s="255" t="s">
        <v>1032</v>
      </c>
      <c r="F21" s="281">
        <f>SUM(F22:F27)</f>
        <v>2230785</v>
      </c>
      <c r="G21" s="271">
        <f t="shared" ref="G21:G27" si="5">F21/$F$33</f>
        <v>7.3322321544667293E-2</v>
      </c>
      <c r="I21" s="11" t="s">
        <v>1198</v>
      </c>
      <c r="J21" s="11" t="s">
        <v>1199</v>
      </c>
      <c r="K21" s="15">
        <v>47000</v>
      </c>
      <c r="L21" s="15">
        <v>0</v>
      </c>
      <c r="M21" s="15">
        <v>0</v>
      </c>
      <c r="N21" s="15">
        <v>0</v>
      </c>
      <c r="O21" s="15">
        <f t="shared" si="3"/>
        <v>0</v>
      </c>
      <c r="P21" s="15">
        <f t="shared" si="1"/>
        <v>47000</v>
      </c>
    </row>
    <row r="22" spans="2:16" x14ac:dyDescent="0.25">
      <c r="B22" s="233" t="s">
        <v>42</v>
      </c>
      <c r="C22" s="234">
        <f>EconomiaT38!C11</f>
        <v>47371</v>
      </c>
      <c r="D22" s="272">
        <f t="shared" si="4"/>
        <v>1.5570087184073921E-3</v>
      </c>
      <c r="E22" s="277" t="s">
        <v>882</v>
      </c>
      <c r="F22" s="287">
        <f>EconomiaT38!C14</f>
        <v>1037788</v>
      </c>
      <c r="G22" s="272">
        <f t="shared" si="5"/>
        <v>3.4110425447184366E-2</v>
      </c>
      <c r="I22" s="11" t="s">
        <v>1006</v>
      </c>
      <c r="J22" s="11" t="s">
        <v>1009</v>
      </c>
      <c r="K22" s="15">
        <v>6001</v>
      </c>
      <c r="L22" s="15">
        <v>0</v>
      </c>
      <c r="M22" s="15">
        <v>1</v>
      </c>
      <c r="N22" s="15">
        <v>0</v>
      </c>
      <c r="O22" s="15">
        <f t="shared" si="3"/>
        <v>-6000</v>
      </c>
      <c r="P22" s="15">
        <f t="shared" si="1"/>
        <v>0</v>
      </c>
    </row>
    <row r="23" spans="2:16" x14ac:dyDescent="0.25">
      <c r="B23" s="233" t="s">
        <v>51</v>
      </c>
      <c r="C23" s="234">
        <f>EconomiaT38!C12</f>
        <v>100000</v>
      </c>
      <c r="D23" s="272">
        <f t="shared" si="4"/>
        <v>3.2868394553785905E-3</v>
      </c>
      <c r="E23" s="277" t="s">
        <v>29</v>
      </c>
      <c r="F23" s="287">
        <f>EconomiaT38!C15</f>
        <v>303797</v>
      </c>
      <c r="G23" s="272">
        <f t="shared" si="5"/>
        <v>9.9853196602564965E-3</v>
      </c>
      <c r="I23" s="11" t="s">
        <v>1003</v>
      </c>
      <c r="J23" s="11" t="s">
        <v>1017</v>
      </c>
      <c r="K23" s="15">
        <v>0</v>
      </c>
      <c r="L23" s="15">
        <v>0</v>
      </c>
      <c r="M23" s="15">
        <v>0</v>
      </c>
      <c r="N23" s="15">
        <v>0</v>
      </c>
      <c r="O23" s="15">
        <f t="shared" si="3"/>
        <v>0</v>
      </c>
      <c r="P23" s="15">
        <f t="shared" si="1"/>
        <v>0</v>
      </c>
    </row>
    <row r="24" spans="2:16" x14ac:dyDescent="0.25">
      <c r="B24" s="233" t="s">
        <v>0</v>
      </c>
      <c r="C24" s="234">
        <f>EconomiaT38!C6</f>
        <v>2339312</v>
      </c>
      <c r="D24" s="272">
        <f t="shared" si="4"/>
        <v>7.6889429800406014E-2</v>
      </c>
      <c r="E24" s="277" t="s">
        <v>6</v>
      </c>
      <c r="F24" s="287">
        <f>EconomiaT38!C17</f>
        <v>482400</v>
      </c>
      <c r="G24" s="272">
        <f t="shared" si="5"/>
        <v>1.585571353274632E-2</v>
      </c>
      <c r="I24" s="11" t="s">
        <v>1003</v>
      </c>
      <c r="J24" s="11" t="s">
        <v>1019</v>
      </c>
      <c r="K24" s="15">
        <v>0</v>
      </c>
      <c r="L24" s="15">
        <v>0</v>
      </c>
      <c r="M24" s="15">
        <v>199999</v>
      </c>
      <c r="N24" s="15">
        <f>M24-189999</f>
        <v>10000</v>
      </c>
      <c r="O24" s="15">
        <f t="shared" si="3"/>
        <v>189999</v>
      </c>
      <c r="P24" s="15">
        <f t="shared" si="1"/>
        <v>0</v>
      </c>
    </row>
    <row r="25" spans="2:16" x14ac:dyDescent="0.25">
      <c r="B25" s="233" t="s">
        <v>2</v>
      </c>
      <c r="C25" s="234">
        <f>EconomiaT38!C7</f>
        <v>1046265</v>
      </c>
      <c r="D25" s="272">
        <f t="shared" si="4"/>
        <v>3.4389050827816812E-2</v>
      </c>
      <c r="E25" s="277" t="s">
        <v>8</v>
      </c>
      <c r="F25" s="287">
        <f>EconomiaT38!C18</f>
        <v>320000</v>
      </c>
      <c r="G25" s="272">
        <f t="shared" si="5"/>
        <v>1.0517886257211491E-2</v>
      </c>
      <c r="I25" s="11" t="s">
        <v>1003</v>
      </c>
      <c r="J25" s="11" t="s">
        <v>1247</v>
      </c>
      <c r="K25" s="15">
        <v>0</v>
      </c>
      <c r="L25" s="15">
        <v>0</v>
      </c>
      <c r="M25" s="15">
        <v>0</v>
      </c>
      <c r="N25" s="15">
        <v>0</v>
      </c>
      <c r="O25" s="15">
        <f t="shared" si="3"/>
        <v>0</v>
      </c>
      <c r="P25" s="15">
        <f t="shared" si="1"/>
        <v>0</v>
      </c>
    </row>
    <row r="26" spans="2:16" x14ac:dyDescent="0.25">
      <c r="B26" s="233" t="s">
        <v>5</v>
      </c>
      <c r="C26" s="234">
        <f>EconomiaT38!C10</f>
        <v>56595</v>
      </c>
      <c r="D26" s="272">
        <f t="shared" si="4"/>
        <v>1.8601867897715134E-3</v>
      </c>
      <c r="E26" s="277" t="s">
        <v>818</v>
      </c>
      <c r="F26" s="287">
        <f>EconomiaT38!C21</f>
        <v>86800</v>
      </c>
      <c r="G26" s="272">
        <f t="shared" si="5"/>
        <v>2.8529766472686169E-3</v>
      </c>
      <c r="I26" s="11" t="s">
        <v>1003</v>
      </c>
      <c r="J26" s="11" t="s">
        <v>1248</v>
      </c>
      <c r="K26" s="15">
        <v>0</v>
      </c>
      <c r="L26" s="15">
        <v>0</v>
      </c>
      <c r="M26" s="15">
        <v>1000</v>
      </c>
      <c r="N26" s="15">
        <v>50</v>
      </c>
      <c r="O26" s="15">
        <f t="shared" si="3"/>
        <v>950</v>
      </c>
      <c r="P26" s="15">
        <f t="shared" si="1"/>
        <v>0</v>
      </c>
    </row>
    <row r="27" spans="2:16" x14ac:dyDescent="0.25">
      <c r="B27" s="226"/>
      <c r="C27" s="242"/>
      <c r="D27" s="271"/>
      <c r="E27" s="277" t="s">
        <v>10</v>
      </c>
      <c r="F27" s="287">
        <f>EconomiaT38!C22</f>
        <v>0</v>
      </c>
      <c r="G27" s="272">
        <f t="shared" si="5"/>
        <v>0</v>
      </c>
      <c r="I27" s="11" t="s">
        <v>1006</v>
      </c>
      <c r="J27" s="11" t="s">
        <v>1249</v>
      </c>
      <c r="K27" s="15">
        <v>1244000</v>
      </c>
      <c r="L27" s="15">
        <v>5292</v>
      </c>
      <c r="M27" s="15">
        <v>0</v>
      </c>
      <c r="N27" s="15">
        <v>0</v>
      </c>
      <c r="O27" s="15">
        <f t="shared" si="3"/>
        <v>0</v>
      </c>
      <c r="P27" s="15">
        <f t="shared" si="1"/>
        <v>1244000</v>
      </c>
    </row>
    <row r="28" spans="2:16" x14ac:dyDescent="0.25">
      <c r="B28" s="226" t="s">
        <v>1200</v>
      </c>
      <c r="C28" s="242">
        <f>EconomiaT38!C5</f>
        <v>111237</v>
      </c>
      <c r="D28" s="304">
        <f>C28/$C$33</f>
        <v>3.6561816049794828E-3</v>
      </c>
      <c r="E28" s="228"/>
      <c r="F28" s="227"/>
      <c r="G28" s="305"/>
      <c r="I28" s="11" t="s">
        <v>1006</v>
      </c>
      <c r="J28" s="11" t="s">
        <v>1251</v>
      </c>
      <c r="K28" s="15">
        <v>320001</v>
      </c>
      <c r="L28" s="15">
        <v>2916</v>
      </c>
      <c r="M28" s="15">
        <v>0</v>
      </c>
      <c r="N28" s="15">
        <v>0</v>
      </c>
      <c r="O28" s="15">
        <f t="shared" si="3"/>
        <v>0</v>
      </c>
      <c r="P28" s="15">
        <f t="shared" si="1"/>
        <v>320001</v>
      </c>
    </row>
    <row r="29" spans="2:16" x14ac:dyDescent="0.25">
      <c r="B29" s="226"/>
      <c r="C29" s="242"/>
      <c r="D29" s="304"/>
      <c r="E29" s="226" t="s">
        <v>30</v>
      </c>
      <c r="F29" s="281">
        <f>F30</f>
        <v>417340</v>
      </c>
      <c r="G29" s="271">
        <f>F29/F33</f>
        <v>1.371729578307701E-2</v>
      </c>
      <c r="I29" s="11" t="s">
        <v>1003</v>
      </c>
      <c r="J29" s="11" t="s">
        <v>1252</v>
      </c>
      <c r="K29" s="15">
        <v>0</v>
      </c>
      <c r="L29" s="15">
        <v>0</v>
      </c>
      <c r="M29" s="15">
        <v>199000</v>
      </c>
      <c r="N29" s="15">
        <v>9950</v>
      </c>
      <c r="O29" s="15">
        <f t="shared" si="3"/>
        <v>189050</v>
      </c>
      <c r="P29" s="15">
        <f t="shared" si="1"/>
        <v>0</v>
      </c>
    </row>
    <row r="30" spans="2:16" x14ac:dyDescent="0.25">
      <c r="B30" s="226"/>
      <c r="C30" s="242"/>
      <c r="D30" s="304"/>
      <c r="E30" s="307" t="s">
        <v>1240</v>
      </c>
      <c r="F30" s="287">
        <f>EconomiaT38!C16</f>
        <v>417340</v>
      </c>
      <c r="G30" s="272">
        <f>F30/F33</f>
        <v>1.371729578307701E-2</v>
      </c>
      <c r="I30" s="11" t="s">
        <v>1004</v>
      </c>
      <c r="J30" s="11" t="s">
        <v>1253</v>
      </c>
      <c r="K30" s="15">
        <v>1030000</v>
      </c>
      <c r="L30" s="15">
        <v>3204</v>
      </c>
      <c r="M30" s="15">
        <v>0</v>
      </c>
      <c r="N30" s="15">
        <v>0</v>
      </c>
      <c r="O30" s="15">
        <f t="shared" si="3"/>
        <v>0</v>
      </c>
      <c r="P30" s="15">
        <f t="shared" si="1"/>
        <v>1030000</v>
      </c>
    </row>
    <row r="31" spans="2:16" x14ac:dyDescent="0.25">
      <c r="B31" s="226"/>
      <c r="C31" s="242"/>
      <c r="D31" s="304"/>
      <c r="E31" s="228"/>
      <c r="F31" s="227"/>
      <c r="G31" s="305"/>
      <c r="I31" s="11" t="s">
        <v>1004</v>
      </c>
      <c r="J31" s="11" t="s">
        <v>1254</v>
      </c>
      <c r="K31" s="15">
        <v>900000</v>
      </c>
      <c r="L31" s="15">
        <v>2940</v>
      </c>
      <c r="M31" s="15">
        <v>1099000</v>
      </c>
      <c r="N31" s="15">
        <f>M31-990309</f>
        <v>108691</v>
      </c>
      <c r="O31" s="15">
        <f t="shared" si="3"/>
        <v>90309</v>
      </c>
      <c r="P31" s="15">
        <f t="shared" si="1"/>
        <v>0</v>
      </c>
    </row>
    <row r="32" spans="2:16" x14ac:dyDescent="0.25">
      <c r="B32" s="230"/>
      <c r="C32" s="229"/>
      <c r="D32" s="304"/>
      <c r="E32" s="230"/>
      <c r="F32" s="229"/>
      <c r="G32" s="306"/>
      <c r="I32" s="11" t="s">
        <v>1006</v>
      </c>
      <c r="J32" s="11" t="s">
        <v>1255</v>
      </c>
      <c r="K32" s="15">
        <v>1020000</v>
      </c>
      <c r="L32" s="15">
        <v>7596</v>
      </c>
      <c r="M32" s="15">
        <v>0</v>
      </c>
      <c r="N32" s="15">
        <v>0</v>
      </c>
      <c r="O32" s="15">
        <f t="shared" si="3"/>
        <v>0</v>
      </c>
      <c r="P32" s="15">
        <f t="shared" si="1"/>
        <v>1020000</v>
      </c>
    </row>
    <row r="33" spans="2:16" ht="18.75" x14ac:dyDescent="0.3">
      <c r="B33" s="239" t="s">
        <v>291</v>
      </c>
      <c r="C33" s="240">
        <f>C21+C16+C10+C5+C28</f>
        <v>30424364</v>
      </c>
      <c r="D33" s="43">
        <f>C33/$C$33</f>
        <v>1</v>
      </c>
      <c r="E33" s="241" t="s">
        <v>291</v>
      </c>
      <c r="F33" s="240">
        <f>F21+F17+F10+F5+F29</f>
        <v>30424364</v>
      </c>
      <c r="G33" s="43">
        <f>F33/$F$33</f>
        <v>1</v>
      </c>
      <c r="I33" s="11" t="s">
        <v>1006</v>
      </c>
      <c r="J33" s="11" t="s">
        <v>1256</v>
      </c>
      <c r="K33" s="15">
        <v>569999</v>
      </c>
      <c r="L33" s="15">
        <v>3972</v>
      </c>
      <c r="M33" s="15">
        <v>0</v>
      </c>
      <c r="N33" s="15">
        <v>0</v>
      </c>
      <c r="O33" s="15">
        <f t="shared" si="3"/>
        <v>0</v>
      </c>
      <c r="P33" s="15">
        <f t="shared" si="1"/>
        <v>569999</v>
      </c>
    </row>
    <row r="34" spans="2:16" x14ac:dyDescent="0.25">
      <c r="I34" s="11" t="s">
        <v>1003</v>
      </c>
      <c r="J34" s="11" t="s">
        <v>1257</v>
      </c>
      <c r="K34" s="15">
        <v>0</v>
      </c>
      <c r="L34" s="15">
        <v>0</v>
      </c>
      <c r="M34" s="15">
        <v>532001</v>
      </c>
      <c r="N34" s="15">
        <f>M34-505401</f>
        <v>26600</v>
      </c>
      <c r="O34" s="15">
        <f t="shared" ref="O34:O44" si="6">IF(M34=0,0,M34-K34)-N34</f>
        <v>505401</v>
      </c>
      <c r="P34" s="15">
        <f t="shared" ref="P34:P50" si="7">IF(M34=0,K34,0)</f>
        <v>0</v>
      </c>
    </row>
    <row r="35" spans="2:16" x14ac:dyDescent="0.25">
      <c r="F35" s="225">
        <f>F33-C33</f>
        <v>0</v>
      </c>
      <c r="I35" s="11" t="s">
        <v>1004</v>
      </c>
      <c r="J35" s="11" t="s">
        <v>1260</v>
      </c>
      <c r="K35" s="15">
        <v>521000</v>
      </c>
      <c r="L35" s="15">
        <v>1308</v>
      </c>
      <c r="M35" s="15">
        <v>0</v>
      </c>
      <c r="N35" s="15">
        <v>0</v>
      </c>
      <c r="O35" s="15">
        <f t="shared" si="6"/>
        <v>0</v>
      </c>
      <c r="P35" s="15">
        <f t="shared" si="7"/>
        <v>521000</v>
      </c>
    </row>
    <row r="36" spans="2:16" x14ac:dyDescent="0.25">
      <c r="I36" s="11" t="s">
        <v>1006</v>
      </c>
      <c r="J36" s="11" t="s">
        <v>1261</v>
      </c>
      <c r="K36" s="15">
        <v>393001</v>
      </c>
      <c r="L36" s="15">
        <v>2844</v>
      </c>
      <c r="M36" s="15">
        <v>0</v>
      </c>
      <c r="N36" s="15">
        <v>0</v>
      </c>
      <c r="O36" s="15">
        <f t="shared" si="6"/>
        <v>0</v>
      </c>
      <c r="P36" s="15">
        <f t="shared" si="7"/>
        <v>393001</v>
      </c>
    </row>
    <row r="37" spans="2:16" x14ac:dyDescent="0.25">
      <c r="H37" s="225"/>
      <c r="I37" s="11" t="s">
        <v>1198</v>
      </c>
      <c r="J37" s="11" t="s">
        <v>1262</v>
      </c>
      <c r="K37" s="15">
        <v>458000</v>
      </c>
      <c r="L37" s="15">
        <v>0</v>
      </c>
      <c r="M37" s="15">
        <v>0</v>
      </c>
      <c r="N37" s="15">
        <v>0</v>
      </c>
      <c r="O37" s="15">
        <f t="shared" si="6"/>
        <v>0</v>
      </c>
      <c r="P37" s="15">
        <f t="shared" si="7"/>
        <v>458000</v>
      </c>
    </row>
    <row r="38" spans="2:16" x14ac:dyDescent="0.25">
      <c r="I38" s="11" t="s">
        <v>1004</v>
      </c>
      <c r="J38" s="11" t="s">
        <v>1263</v>
      </c>
      <c r="K38" s="15">
        <v>500000</v>
      </c>
      <c r="L38" s="15">
        <v>2940</v>
      </c>
      <c r="M38" s="15">
        <v>0</v>
      </c>
      <c r="N38" s="15">
        <v>0</v>
      </c>
      <c r="O38" s="15">
        <f t="shared" si="6"/>
        <v>0</v>
      </c>
      <c r="P38" s="15">
        <f t="shared" si="7"/>
        <v>500000</v>
      </c>
    </row>
    <row r="39" spans="2:16" x14ac:dyDescent="0.25">
      <c r="C39" s="129"/>
      <c r="E39" s="225"/>
      <c r="I39" s="11" t="s">
        <v>1004</v>
      </c>
      <c r="J39" s="11" t="s">
        <v>1264</v>
      </c>
      <c r="K39" s="15">
        <v>250000</v>
      </c>
      <c r="L39" s="15">
        <v>492</v>
      </c>
      <c r="M39" s="15">
        <v>0</v>
      </c>
      <c r="N39" s="15">
        <v>0</v>
      </c>
      <c r="O39" s="15">
        <f t="shared" si="6"/>
        <v>0</v>
      </c>
      <c r="P39" s="15">
        <f t="shared" si="7"/>
        <v>250000</v>
      </c>
    </row>
    <row r="40" spans="2:16" x14ac:dyDescent="0.25">
      <c r="E40" s="225"/>
      <c r="I40" s="11" t="s">
        <v>1006</v>
      </c>
      <c r="J40" s="11" t="s">
        <v>1265</v>
      </c>
      <c r="K40" s="15">
        <v>1000000</v>
      </c>
      <c r="L40" s="15">
        <v>3760</v>
      </c>
      <c r="M40" s="15">
        <v>0</v>
      </c>
      <c r="N40" s="15">
        <v>0</v>
      </c>
      <c r="O40" s="15">
        <f t="shared" si="6"/>
        <v>0</v>
      </c>
      <c r="P40" s="15">
        <f t="shared" si="7"/>
        <v>1000000</v>
      </c>
    </row>
    <row r="41" spans="2:16" x14ac:dyDescent="0.25">
      <c r="I41" s="11" t="s">
        <v>1003</v>
      </c>
      <c r="J41" s="11" t="s">
        <v>1266</v>
      </c>
      <c r="K41" s="15">
        <v>0</v>
      </c>
      <c r="L41" s="15">
        <v>0</v>
      </c>
      <c r="M41" s="15">
        <v>0</v>
      </c>
      <c r="N41" s="15">
        <v>0</v>
      </c>
      <c r="O41" s="15">
        <f t="shared" si="6"/>
        <v>0</v>
      </c>
      <c r="P41" s="15">
        <f t="shared" si="7"/>
        <v>0</v>
      </c>
    </row>
    <row r="42" spans="2:16" x14ac:dyDescent="0.25">
      <c r="I42" s="11" t="s">
        <v>1006</v>
      </c>
      <c r="J42" s="11" t="s">
        <v>1268</v>
      </c>
      <c r="K42" s="15">
        <v>867000</v>
      </c>
      <c r="L42" s="15">
        <v>5940</v>
      </c>
      <c r="M42" s="15">
        <v>0</v>
      </c>
      <c r="N42" s="15">
        <v>0</v>
      </c>
      <c r="O42" s="15">
        <f t="shared" si="6"/>
        <v>0</v>
      </c>
      <c r="P42" s="15">
        <f t="shared" si="7"/>
        <v>867000</v>
      </c>
    </row>
    <row r="43" spans="2:16" x14ac:dyDescent="0.25">
      <c r="B43" s="225"/>
      <c r="I43" s="11" t="s">
        <v>1003</v>
      </c>
      <c r="J43" s="11" t="s">
        <v>1269</v>
      </c>
      <c r="K43" s="15">
        <v>0</v>
      </c>
      <c r="L43" s="15">
        <v>0</v>
      </c>
      <c r="M43" s="15">
        <v>0</v>
      </c>
      <c r="N43" s="15">
        <v>0</v>
      </c>
      <c r="O43" s="15">
        <f t="shared" si="6"/>
        <v>0</v>
      </c>
      <c r="P43" s="15">
        <f t="shared" si="7"/>
        <v>0</v>
      </c>
    </row>
    <row r="44" spans="2:16" x14ac:dyDescent="0.25">
      <c r="I44" s="11" t="s">
        <v>1004</v>
      </c>
      <c r="J44" s="11" t="s">
        <v>1291</v>
      </c>
      <c r="K44" s="15">
        <v>1300000</v>
      </c>
      <c r="L44" s="15">
        <v>1790</v>
      </c>
      <c r="M44" s="15">
        <v>0</v>
      </c>
      <c r="N44" s="15">
        <v>0</v>
      </c>
      <c r="O44" s="15">
        <f t="shared" si="6"/>
        <v>0</v>
      </c>
      <c r="P44" s="15">
        <f t="shared" si="7"/>
        <v>1300000</v>
      </c>
    </row>
    <row r="45" spans="2:16" x14ac:dyDescent="0.25">
      <c r="I45" s="11" t="s">
        <v>1005</v>
      </c>
      <c r="J45" s="11" t="s">
        <v>1302</v>
      </c>
      <c r="K45" s="15">
        <v>48000</v>
      </c>
      <c r="L45" s="15">
        <v>470</v>
      </c>
      <c r="M45" s="15">
        <v>0</v>
      </c>
      <c r="N45" s="15">
        <v>0</v>
      </c>
      <c r="O45" s="15">
        <v>0</v>
      </c>
      <c r="P45" s="15">
        <f t="shared" si="7"/>
        <v>48000</v>
      </c>
    </row>
    <row r="46" spans="2:16" x14ac:dyDescent="0.25">
      <c r="E46" s="225"/>
      <c r="I46" s="11" t="s">
        <v>1005</v>
      </c>
      <c r="J46" s="11" t="s">
        <v>1303</v>
      </c>
      <c r="K46" s="15">
        <v>20000</v>
      </c>
      <c r="L46" s="15">
        <v>450</v>
      </c>
      <c r="M46" s="15">
        <v>0</v>
      </c>
      <c r="N46" s="15">
        <v>0</v>
      </c>
      <c r="O46" s="15">
        <v>0</v>
      </c>
      <c r="P46" s="15">
        <f t="shared" si="7"/>
        <v>20000</v>
      </c>
    </row>
    <row r="47" spans="2:16" x14ac:dyDescent="0.25">
      <c r="I47" s="11" t="s">
        <v>1005</v>
      </c>
      <c r="J47" s="11" t="s">
        <v>1304</v>
      </c>
      <c r="K47" s="15">
        <v>104040</v>
      </c>
      <c r="L47" s="15">
        <v>610</v>
      </c>
      <c r="M47" s="15">
        <v>0</v>
      </c>
      <c r="N47" s="15">
        <v>0</v>
      </c>
      <c r="O47" s="15">
        <v>0</v>
      </c>
      <c r="P47" s="15">
        <f t="shared" si="7"/>
        <v>104040</v>
      </c>
    </row>
    <row r="48" spans="2:16" x14ac:dyDescent="0.25">
      <c r="I48" s="11" t="s">
        <v>1005</v>
      </c>
      <c r="J48" s="11" t="s">
        <v>1305</v>
      </c>
      <c r="K48" s="15">
        <v>20000</v>
      </c>
      <c r="L48" s="15">
        <v>630</v>
      </c>
      <c r="M48" s="15">
        <v>0</v>
      </c>
      <c r="N48" s="15">
        <v>0</v>
      </c>
      <c r="O48" s="15">
        <v>0</v>
      </c>
      <c r="P48" s="15">
        <f t="shared" si="7"/>
        <v>20000</v>
      </c>
    </row>
    <row r="49" spans="9:16" x14ac:dyDescent="0.25">
      <c r="I49" s="11" t="s">
        <v>1005</v>
      </c>
      <c r="J49" s="11" t="s">
        <v>1306</v>
      </c>
      <c r="K49" s="15">
        <v>25000</v>
      </c>
      <c r="L49" s="15">
        <v>370</v>
      </c>
      <c r="M49" s="15">
        <v>0</v>
      </c>
      <c r="N49" s="15">
        <v>0</v>
      </c>
      <c r="O49" s="15">
        <v>0</v>
      </c>
      <c r="P49" s="15">
        <f t="shared" si="7"/>
        <v>25000</v>
      </c>
    </row>
    <row r="50" spans="9:16" x14ac:dyDescent="0.25">
      <c r="I50" s="11" t="s">
        <v>1005</v>
      </c>
      <c r="J50" s="11" t="s">
        <v>1307</v>
      </c>
      <c r="K50" s="15">
        <v>20000</v>
      </c>
      <c r="L50" s="15">
        <v>390</v>
      </c>
      <c r="M50" s="15">
        <v>0</v>
      </c>
      <c r="N50" s="15">
        <v>0</v>
      </c>
      <c r="O50" s="15">
        <v>0</v>
      </c>
      <c r="P50" s="15">
        <f t="shared" si="7"/>
        <v>20000</v>
      </c>
    </row>
    <row r="51" spans="9:16" x14ac:dyDescent="0.25">
      <c r="I51" s="11"/>
      <c r="J51" s="11"/>
      <c r="K51" s="15"/>
      <c r="L51" s="15"/>
      <c r="M51" s="15"/>
      <c r="N51" s="15"/>
      <c r="O51" s="15"/>
      <c r="P51" s="15"/>
    </row>
    <row r="52" spans="9:16" x14ac:dyDescent="0.25">
      <c r="I52" s="11"/>
      <c r="J52" s="11"/>
      <c r="K52" s="15"/>
      <c r="L52" s="15"/>
      <c r="M52" s="15"/>
      <c r="N52" s="15"/>
      <c r="O52" s="15"/>
      <c r="P52" s="15"/>
    </row>
    <row r="53" spans="9:16" x14ac:dyDescent="0.25">
      <c r="I53" s="11"/>
      <c r="J53" s="11"/>
      <c r="K53" s="15"/>
      <c r="L53" s="15"/>
      <c r="M53" s="15"/>
      <c r="N53" s="15"/>
      <c r="O53" s="15"/>
      <c r="P53" s="15"/>
    </row>
  </sheetData>
  <autoFilter ref="I2:P50"/>
  <sortState ref="I3:P54">
    <sortCondition descending="1" ref="P3:P54"/>
  </sortState>
  <mergeCells count="5">
    <mergeCell ref="B1:F1"/>
    <mergeCell ref="I1:P1"/>
    <mergeCell ref="B2:G2"/>
    <mergeCell ref="B3:C3"/>
    <mergeCell ref="E3:F3"/>
  </mergeCells>
  <conditionalFormatting sqref="F11:F15">
    <cfRule type="cellIs" dxfId="1872" priority="1" operator="lessThan">
      <formula>0</formula>
    </cfRule>
    <cfRule type="cellIs" dxfId="1871" priority="2" operator="greaterThan">
      <formula>0</formula>
    </cfRule>
  </conditionalFormatting>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M5" activePane="bottomRight" state="frozen"/>
      <selection pane="topRight" activeCell="D1" sqref="D1"/>
      <selection pane="bottomLeft" activeCell="A5" sqref="A5"/>
      <selection pane="bottomRight" activeCell="S7" sqref="S7"/>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4.42578125" bestFit="1" customWidth="1"/>
    <col min="5" max="5" width="16.7109375" style="322" bestFit="1" customWidth="1"/>
    <col min="6" max="6" width="16.7109375" bestFit="1" customWidth="1"/>
    <col min="7" max="7" width="16.7109375" style="97" bestFit="1" customWidth="1"/>
    <col min="8" max="9" width="16.7109375" bestFit="1" customWidth="1"/>
    <col min="10" max="19" width="16.7109375" style="5" bestFit="1" customWidth="1"/>
    <col min="20" max="23" width="11.42578125" style="5"/>
    <col min="24" max="24" width="11.5703125" style="5" bestFit="1" customWidth="1"/>
    <col min="25" max="25" width="16.140625" style="5" customWidth="1"/>
    <col min="26" max="26" width="9.7109375" style="5" bestFit="1" customWidth="1"/>
    <col min="27" max="16384" width="11.42578125" style="5"/>
  </cols>
  <sheetData>
    <row r="1" spans="1:26" ht="23.25" x14ac:dyDescent="0.35">
      <c r="A1" s="156" t="s">
        <v>13</v>
      </c>
      <c r="B1" s="255"/>
      <c r="C1" s="255"/>
      <c r="X1" s="376"/>
    </row>
    <row r="2" spans="1:26" s="178" customFormat="1" ht="13.5" thickBot="1" x14ac:dyDescent="0.25">
      <c r="B2" s="297"/>
      <c r="C2" s="297"/>
      <c r="D2" s="181">
        <v>41293</v>
      </c>
      <c r="E2" s="181">
        <f>D2+7</f>
        <v>41300</v>
      </c>
      <c r="F2" s="181">
        <f t="shared" ref="F2:S2" si="0">E2+7</f>
        <v>41307</v>
      </c>
      <c r="G2" s="181">
        <f t="shared" si="0"/>
        <v>41314</v>
      </c>
      <c r="H2" s="181">
        <f t="shared" si="0"/>
        <v>41321</v>
      </c>
      <c r="I2" s="181">
        <f t="shared" si="0"/>
        <v>41328</v>
      </c>
      <c r="J2" s="181">
        <f t="shared" si="0"/>
        <v>41335</v>
      </c>
      <c r="K2" s="181">
        <f t="shared" si="0"/>
        <v>41342</v>
      </c>
      <c r="L2" s="181">
        <f t="shared" si="0"/>
        <v>41349</v>
      </c>
      <c r="M2" s="181">
        <f t="shared" si="0"/>
        <v>41356</v>
      </c>
      <c r="N2" s="181">
        <f t="shared" si="0"/>
        <v>41363</v>
      </c>
      <c r="O2" s="181">
        <f t="shared" si="0"/>
        <v>41370</v>
      </c>
      <c r="P2" s="181">
        <f t="shared" si="0"/>
        <v>41377</v>
      </c>
      <c r="Q2" s="181">
        <f t="shared" si="0"/>
        <v>41384</v>
      </c>
      <c r="R2" s="181">
        <f t="shared" si="0"/>
        <v>41391</v>
      </c>
      <c r="S2" s="181">
        <f t="shared" si="0"/>
        <v>41398</v>
      </c>
      <c r="T2" s="181"/>
      <c r="U2" s="181"/>
      <c r="V2" s="181"/>
      <c r="W2" s="181"/>
      <c r="X2" s="181"/>
    </row>
    <row r="3" spans="1:26" s="6" customFormat="1" ht="15.75" thickBot="1" x14ac:dyDescent="0.3">
      <c r="A3" s="27"/>
      <c r="B3" s="421" t="s">
        <v>1290</v>
      </c>
      <c r="C3" s="27"/>
      <c r="D3" s="386" t="s">
        <v>16</v>
      </c>
      <c r="E3" s="386" t="s">
        <v>715</v>
      </c>
      <c r="F3" s="386" t="s">
        <v>702</v>
      </c>
      <c r="G3" s="386" t="s">
        <v>703</v>
      </c>
      <c r="H3" s="386" t="s">
        <v>704</v>
      </c>
      <c r="I3" s="386" t="s">
        <v>705</v>
      </c>
      <c r="J3" s="386" t="s">
        <v>21</v>
      </c>
      <c r="K3" s="386" t="s">
        <v>22</v>
      </c>
      <c r="L3" s="386" t="s">
        <v>23</v>
      </c>
      <c r="M3" s="386" t="s">
        <v>17</v>
      </c>
      <c r="N3" s="386" t="s">
        <v>18</v>
      </c>
      <c r="O3" s="386" t="s">
        <v>24</v>
      </c>
      <c r="P3" s="386" t="s">
        <v>25</v>
      </c>
      <c r="Q3" s="386" t="s">
        <v>26</v>
      </c>
      <c r="R3" s="386" t="s">
        <v>27</v>
      </c>
      <c r="S3" s="386" t="s">
        <v>28</v>
      </c>
    </row>
    <row r="4" spans="1:26" s="6" customFormat="1" x14ac:dyDescent="0.25">
      <c r="A4" s="27"/>
      <c r="B4" s="298"/>
      <c r="C4" s="298" t="s">
        <v>42</v>
      </c>
      <c r="D4" s="215">
        <f>1399+7</f>
        <v>1406</v>
      </c>
      <c r="E4" s="215">
        <f>D4+(D11/30)</f>
        <v>1417</v>
      </c>
      <c r="F4" s="215">
        <f t="shared" ref="F4:R4" si="1">E4+(E11/30)</f>
        <v>1431</v>
      </c>
      <c r="G4" s="215">
        <f t="shared" si="1"/>
        <v>1442</v>
      </c>
      <c r="H4" s="215">
        <f t="shared" si="1"/>
        <v>1456</v>
      </c>
      <c r="I4" s="215">
        <f t="shared" si="1"/>
        <v>1470</v>
      </c>
      <c r="J4" s="215">
        <f t="shared" si="1"/>
        <v>1484</v>
      </c>
      <c r="K4" s="215">
        <f t="shared" si="1"/>
        <v>1496</v>
      </c>
      <c r="L4" s="215">
        <f t="shared" si="1"/>
        <v>1508</v>
      </c>
      <c r="M4" s="215">
        <f t="shared" si="1"/>
        <v>1520</v>
      </c>
      <c r="N4" s="215">
        <f t="shared" si="1"/>
        <v>1532</v>
      </c>
      <c r="O4" s="215">
        <f t="shared" si="1"/>
        <v>1544</v>
      </c>
      <c r="P4" s="215">
        <f t="shared" si="1"/>
        <v>1556</v>
      </c>
      <c r="Q4" s="215">
        <f t="shared" si="1"/>
        <v>1562</v>
      </c>
      <c r="R4" s="215">
        <f t="shared" si="1"/>
        <v>1574</v>
      </c>
      <c r="S4" s="215">
        <f>R4+(R11/30)</f>
        <v>1582</v>
      </c>
    </row>
    <row r="5" spans="1:26" s="7" customFormat="1" ht="18.75" x14ac:dyDescent="0.3">
      <c r="A5" s="29" t="s">
        <v>12</v>
      </c>
      <c r="B5" s="29"/>
      <c r="C5" s="296">
        <f>EconomiaT38!S24</f>
        <v>513862</v>
      </c>
      <c r="D5" s="197">
        <f>C5</f>
        <v>513862</v>
      </c>
      <c r="E5" s="197">
        <f>D24</f>
        <v>528037</v>
      </c>
      <c r="F5" s="197">
        <f t="shared" ref="F5:S5" si="2">E24</f>
        <v>1155182</v>
      </c>
      <c r="G5" s="197">
        <f t="shared" si="2"/>
        <v>611863</v>
      </c>
      <c r="H5" s="197">
        <f t="shared" si="2"/>
        <v>276617</v>
      </c>
      <c r="I5" s="197">
        <f t="shared" si="2"/>
        <v>867192</v>
      </c>
      <c r="J5" s="197">
        <f t="shared" si="2"/>
        <v>560598</v>
      </c>
      <c r="K5" s="197">
        <f t="shared" si="2"/>
        <v>686340</v>
      </c>
      <c r="L5" s="197">
        <f t="shared" si="2"/>
        <v>931855</v>
      </c>
      <c r="M5" s="197">
        <f t="shared" si="2"/>
        <v>1180664</v>
      </c>
      <c r="N5" s="197">
        <f t="shared" si="2"/>
        <v>1113218</v>
      </c>
      <c r="O5" s="197">
        <f t="shared" si="2"/>
        <v>1215418</v>
      </c>
      <c r="P5" s="197">
        <f t="shared" si="2"/>
        <v>2139152</v>
      </c>
      <c r="Q5" s="197">
        <f t="shared" si="2"/>
        <v>17521</v>
      </c>
      <c r="R5" s="197">
        <f t="shared" si="2"/>
        <v>1126255</v>
      </c>
      <c r="S5" s="197">
        <f t="shared" si="2"/>
        <v>2971558</v>
      </c>
    </row>
    <row r="6" spans="1:26" x14ac:dyDescent="0.25">
      <c r="A6" s="8" t="s">
        <v>0</v>
      </c>
      <c r="B6" s="8" t="s">
        <v>0</v>
      </c>
      <c r="C6" s="199">
        <f>SUM(D6:S6)</f>
        <v>2856254</v>
      </c>
      <c r="D6" s="200">
        <v>133433</v>
      </c>
      <c r="E6" s="200">
        <f>183596+276931</f>
        <v>460527</v>
      </c>
      <c r="F6" s="200">
        <v>194144</v>
      </c>
      <c r="G6" s="200">
        <f>265341+16105+2417</f>
        <v>283863</v>
      </c>
      <c r="H6" s="200">
        <v>12903</v>
      </c>
      <c r="I6" s="200">
        <v>15577</v>
      </c>
      <c r="J6" s="200">
        <f>301873+8000-432</f>
        <v>309441</v>
      </c>
      <c r="K6" s="200">
        <v>8820</v>
      </c>
      <c r="L6" s="200">
        <f>330893+6597</f>
        <v>337490</v>
      </c>
      <c r="M6" s="200">
        <v>6659</v>
      </c>
      <c r="N6" s="200">
        <f>330980+16733</f>
        <v>347713</v>
      </c>
      <c r="O6" s="200">
        <f>321652+17551</f>
        <v>339203</v>
      </c>
      <c r="P6" s="200">
        <v>15565</v>
      </c>
      <c r="Q6" s="200">
        <f>362596+6567</f>
        <v>369163</v>
      </c>
      <c r="R6" s="200">
        <v>9149</v>
      </c>
      <c r="S6" s="200">
        <v>12604</v>
      </c>
      <c r="Y6" s="8" t="s">
        <v>0</v>
      </c>
      <c r="Z6" s="219">
        <f>C6/$C$13</f>
        <v>0.16078398414189432</v>
      </c>
    </row>
    <row r="7" spans="1:26" x14ac:dyDescent="0.25">
      <c r="A7" s="8" t="s">
        <v>2</v>
      </c>
      <c r="B7" s="8" t="s">
        <v>2</v>
      </c>
      <c r="C7" s="199">
        <f t="shared" ref="C7:C23" si="3">SUM(D7:S7)</f>
        <v>1280279</v>
      </c>
      <c r="D7" s="202">
        <v>62165</v>
      </c>
      <c r="E7" s="202">
        <v>69935</v>
      </c>
      <c r="F7" s="202">
        <v>74930</v>
      </c>
      <c r="G7" s="202">
        <v>77705</v>
      </c>
      <c r="H7" s="202">
        <v>79370</v>
      </c>
      <c r="I7" s="202">
        <v>80479</v>
      </c>
      <c r="J7" s="202">
        <v>81405</v>
      </c>
      <c r="K7" s="202">
        <v>81960</v>
      </c>
      <c r="L7" s="202">
        <v>82515</v>
      </c>
      <c r="M7" s="202">
        <v>83070</v>
      </c>
      <c r="N7" s="202">
        <v>83440</v>
      </c>
      <c r="O7" s="202">
        <f>N7+555</f>
        <v>83995</v>
      </c>
      <c r="P7" s="202">
        <v>84365</v>
      </c>
      <c r="Q7" s="202">
        <v>84550</v>
      </c>
      <c r="R7" s="202">
        <v>85105</v>
      </c>
      <c r="S7" s="202">
        <v>85290</v>
      </c>
      <c r="Y7" s="8" t="s">
        <v>2</v>
      </c>
      <c r="Z7" s="219">
        <f t="shared" ref="Z7:Z12" si="4">C7/$C$13</f>
        <v>7.2069346225230785E-2</v>
      </c>
    </row>
    <row r="8" spans="1:26" x14ac:dyDescent="0.25">
      <c r="A8" s="8" t="s">
        <v>3</v>
      </c>
      <c r="B8" s="8" t="s">
        <v>48</v>
      </c>
      <c r="C8" s="199">
        <f t="shared" si="3"/>
        <v>11862460</v>
      </c>
      <c r="D8" s="200">
        <v>0</v>
      </c>
      <c r="E8" s="200">
        <f>69248+203000+827695+58272+358213</f>
        <v>1516428</v>
      </c>
      <c r="F8" s="200">
        <v>2118245</v>
      </c>
      <c r="G8" s="200">
        <f>1585854+950</f>
        <v>1586804</v>
      </c>
      <c r="H8" s="200">
        <v>2550029</v>
      </c>
      <c r="I8" s="200">
        <v>163244</v>
      </c>
      <c r="J8" s="200">
        <v>49418</v>
      </c>
      <c r="K8" s="200">
        <v>320091</v>
      </c>
      <c r="L8" s="200">
        <v>0</v>
      </c>
      <c r="M8" s="200">
        <v>0</v>
      </c>
      <c r="N8" s="200">
        <v>221550</v>
      </c>
      <c r="O8" s="200">
        <v>0</v>
      </c>
      <c r="P8" s="200">
        <v>0</v>
      </c>
      <c r="Q8" s="200">
        <v>976500</v>
      </c>
      <c r="R8" s="200">
        <f>2367751-3800-3800</f>
        <v>2360151</v>
      </c>
      <c r="S8" s="200">
        <v>0</v>
      </c>
      <c r="Y8" s="8" t="s">
        <v>48</v>
      </c>
      <c r="Z8" s="219">
        <f t="shared" si="4"/>
        <v>0.66776049347286892</v>
      </c>
    </row>
    <row r="9" spans="1:26" x14ac:dyDescent="0.25">
      <c r="A9" s="8"/>
      <c r="B9" s="8" t="s">
        <v>820</v>
      </c>
      <c r="C9" s="199">
        <f t="shared" si="3"/>
        <v>1249251</v>
      </c>
      <c r="D9" s="200">
        <v>0</v>
      </c>
      <c r="E9" s="200">
        <v>164351</v>
      </c>
      <c r="F9" s="200">
        <v>0</v>
      </c>
      <c r="G9" s="200">
        <v>0</v>
      </c>
      <c r="H9" s="200">
        <v>0</v>
      </c>
      <c r="I9" s="200">
        <v>0</v>
      </c>
      <c r="J9" s="200">
        <v>0</v>
      </c>
      <c r="K9" s="200">
        <v>0</v>
      </c>
      <c r="L9" s="200">
        <v>0</v>
      </c>
      <c r="M9" s="200">
        <v>236550</v>
      </c>
      <c r="N9" s="200">
        <v>0</v>
      </c>
      <c r="O9" s="200">
        <f>261250+583300</f>
        <v>844550</v>
      </c>
      <c r="P9" s="200">
        <v>0</v>
      </c>
      <c r="Q9" s="200">
        <v>0</v>
      </c>
      <c r="R9" s="200">
        <v>3800</v>
      </c>
      <c r="S9" s="200">
        <v>0</v>
      </c>
      <c r="Y9" s="8" t="s">
        <v>820</v>
      </c>
      <c r="Z9" s="219">
        <f t="shared" si="4"/>
        <v>7.0322720939120134E-2</v>
      </c>
    </row>
    <row r="10" spans="1:26" x14ac:dyDescent="0.25">
      <c r="A10" s="8" t="s">
        <v>5</v>
      </c>
      <c r="B10" s="8" t="s">
        <v>5</v>
      </c>
      <c r="C10" s="199">
        <f t="shared" si="3"/>
        <v>358487</v>
      </c>
      <c r="D10" s="202">
        <v>1005</v>
      </c>
      <c r="E10" s="202">
        <v>0</v>
      </c>
      <c r="F10" s="202">
        <v>0</v>
      </c>
      <c r="G10" s="202">
        <v>0</v>
      </c>
      <c r="H10" s="202">
        <v>106833</v>
      </c>
      <c r="I10" s="202">
        <f>4177+125</f>
        <v>4302</v>
      </c>
      <c r="J10" s="202">
        <v>0</v>
      </c>
      <c r="K10" s="202">
        <v>71365</v>
      </c>
      <c r="L10" s="202">
        <v>17190</v>
      </c>
      <c r="M10" s="202">
        <v>225</v>
      </c>
      <c r="N10" s="202">
        <v>375</v>
      </c>
      <c r="O10" s="202">
        <v>42000</v>
      </c>
      <c r="P10" s="202">
        <v>44737</v>
      </c>
      <c r="Q10" s="202">
        <v>21555</v>
      </c>
      <c r="R10" s="202">
        <v>12240</v>
      </c>
      <c r="S10" s="202">
        <v>36660</v>
      </c>
      <c r="Y10" s="8" t="s">
        <v>5</v>
      </c>
      <c r="Z10" s="219">
        <f t="shared" si="4"/>
        <v>2.0179916815197554E-2</v>
      </c>
    </row>
    <row r="11" spans="1:26" x14ac:dyDescent="0.25">
      <c r="A11" s="728" t="s">
        <v>7</v>
      </c>
      <c r="B11" s="8" t="s">
        <v>42</v>
      </c>
      <c r="C11" s="199">
        <f t="shared" si="3"/>
        <v>57812</v>
      </c>
      <c r="D11" s="202">
        <v>330</v>
      </c>
      <c r="E11" s="202">
        <v>420</v>
      </c>
      <c r="F11" s="202">
        <v>330</v>
      </c>
      <c r="G11" s="202">
        <v>420</v>
      </c>
      <c r="H11" s="202">
        <f t="shared" ref="H11:O11" si="5">G11</f>
        <v>420</v>
      </c>
      <c r="I11" s="202">
        <f t="shared" si="5"/>
        <v>420</v>
      </c>
      <c r="J11" s="202">
        <v>360</v>
      </c>
      <c r="K11" s="202">
        <f t="shared" si="5"/>
        <v>360</v>
      </c>
      <c r="L11" s="202">
        <f t="shared" si="5"/>
        <v>360</v>
      </c>
      <c r="M11" s="202">
        <f t="shared" si="5"/>
        <v>360</v>
      </c>
      <c r="N11" s="202">
        <f t="shared" si="5"/>
        <v>360</v>
      </c>
      <c r="O11" s="202">
        <f t="shared" si="5"/>
        <v>360</v>
      </c>
      <c r="P11" s="202">
        <v>180</v>
      </c>
      <c r="Q11" s="202">
        <v>360</v>
      </c>
      <c r="R11" s="202">
        <v>240</v>
      </c>
      <c r="S11" s="202">
        <f>47462+4770+300</f>
        <v>52532</v>
      </c>
      <c r="Y11" s="8" t="s">
        <v>19</v>
      </c>
      <c r="Z11" s="219">
        <f t="shared" si="4"/>
        <v>3.2543477194994547E-3</v>
      </c>
    </row>
    <row r="12" spans="1:26" x14ac:dyDescent="0.25">
      <c r="A12" s="729"/>
      <c r="B12" s="8" t="s">
        <v>51</v>
      </c>
      <c r="C12" s="199">
        <f t="shared" si="3"/>
        <v>100000</v>
      </c>
      <c r="D12" s="202">
        <v>0</v>
      </c>
      <c r="E12" s="202">
        <v>0</v>
      </c>
      <c r="F12" s="202">
        <v>0</v>
      </c>
      <c r="G12" s="202">
        <v>0</v>
      </c>
      <c r="H12" s="202">
        <v>0</v>
      </c>
      <c r="I12" s="202">
        <v>0</v>
      </c>
      <c r="J12" s="202">
        <v>0</v>
      </c>
      <c r="K12" s="202">
        <v>0</v>
      </c>
      <c r="L12" s="202">
        <v>0</v>
      </c>
      <c r="M12" s="202">
        <v>0</v>
      </c>
      <c r="N12" s="202">
        <v>0</v>
      </c>
      <c r="O12" s="202">
        <v>0</v>
      </c>
      <c r="P12" s="202">
        <v>0</v>
      </c>
      <c r="Q12" s="202">
        <v>0</v>
      </c>
      <c r="R12" s="202">
        <v>0</v>
      </c>
      <c r="S12" s="202">
        <f>60000+40000</f>
        <v>100000</v>
      </c>
      <c r="Y12" s="8" t="s">
        <v>51</v>
      </c>
      <c r="Z12" s="219">
        <f t="shared" si="4"/>
        <v>5.6291906861887751E-3</v>
      </c>
    </row>
    <row r="13" spans="1:26" s="21" customFormat="1" ht="18.75" x14ac:dyDescent="0.3">
      <c r="A13" s="19" t="s">
        <v>14</v>
      </c>
      <c r="B13" s="20"/>
      <c r="C13" s="203">
        <f t="shared" si="3"/>
        <v>17764543</v>
      </c>
      <c r="D13" s="204">
        <f t="shared" ref="D13:I13" si="6">SUM(D6:D12)</f>
        <v>196933</v>
      </c>
      <c r="E13" s="204">
        <f t="shared" si="6"/>
        <v>2211661</v>
      </c>
      <c r="F13" s="204">
        <f t="shared" si="6"/>
        <v>2387649</v>
      </c>
      <c r="G13" s="204">
        <f>G12+G11+G10+G9+G8+G7+G6</f>
        <v>1948792</v>
      </c>
      <c r="H13" s="204">
        <f t="shared" si="6"/>
        <v>2749555</v>
      </c>
      <c r="I13" s="204">
        <f t="shared" si="6"/>
        <v>264022</v>
      </c>
      <c r="J13" s="204">
        <f t="shared" ref="J13:S13" si="7">SUM(J6:J12)</f>
        <v>440624</v>
      </c>
      <c r="K13" s="204">
        <f t="shared" si="7"/>
        <v>482596</v>
      </c>
      <c r="L13" s="204">
        <f t="shared" si="7"/>
        <v>437555</v>
      </c>
      <c r="M13" s="204">
        <f t="shared" si="7"/>
        <v>326864</v>
      </c>
      <c r="N13" s="204">
        <f t="shared" si="7"/>
        <v>653438</v>
      </c>
      <c r="O13" s="204">
        <f t="shared" si="7"/>
        <v>1310108</v>
      </c>
      <c r="P13" s="204">
        <f t="shared" si="7"/>
        <v>144847</v>
      </c>
      <c r="Q13" s="204">
        <f t="shared" si="7"/>
        <v>1452128</v>
      </c>
      <c r="R13" s="204">
        <f t="shared" si="7"/>
        <v>2470685</v>
      </c>
      <c r="S13" s="204">
        <f t="shared" si="7"/>
        <v>287086</v>
      </c>
      <c r="Z13" s="222">
        <f>SUM(Z6:Z12)</f>
        <v>1</v>
      </c>
    </row>
    <row r="14" spans="1:26" ht="18.75" x14ac:dyDescent="0.3">
      <c r="A14" s="22" t="s">
        <v>1</v>
      </c>
      <c r="B14" s="23" t="str">
        <f>A14</f>
        <v>Sueldos</v>
      </c>
      <c r="C14" s="206">
        <f t="shared" si="3"/>
        <v>1561432</v>
      </c>
      <c r="D14" s="207">
        <v>71414</v>
      </c>
      <c r="E14" s="207">
        <v>71804</v>
      </c>
      <c r="F14" s="207">
        <v>69618</v>
      </c>
      <c r="G14" s="207">
        <v>71364</v>
      </c>
      <c r="H14" s="207">
        <v>77836</v>
      </c>
      <c r="I14" s="207">
        <v>99096</v>
      </c>
      <c r="J14" s="207">
        <v>102318</v>
      </c>
      <c r="K14" s="207">
        <v>103640</v>
      </c>
      <c r="L14" s="207">
        <v>102802</v>
      </c>
      <c r="M14" s="207">
        <v>103426</v>
      </c>
      <c r="N14" s="207">
        <v>103524</v>
      </c>
      <c r="O14" s="207">
        <v>103874</v>
      </c>
      <c r="P14" s="207">
        <v>105408</v>
      </c>
      <c r="Q14" s="207">
        <v>122990</v>
      </c>
      <c r="R14" s="207">
        <v>120408</v>
      </c>
      <c r="S14" s="207">
        <v>131910</v>
      </c>
      <c r="Y14" s="744">
        <f>C13</f>
        <v>17764543</v>
      </c>
      <c r="Z14" s="745"/>
    </row>
    <row r="15" spans="1:26" x14ac:dyDescent="0.25">
      <c r="A15" s="22" t="s">
        <v>29</v>
      </c>
      <c r="B15" s="23" t="str">
        <f>A15</f>
        <v xml:space="preserve">Mantenimiento </v>
      </c>
      <c r="C15" s="206">
        <f t="shared" si="3"/>
        <v>387534</v>
      </c>
      <c r="D15" s="207">
        <v>23544</v>
      </c>
      <c r="E15" s="207">
        <v>23544</v>
      </c>
      <c r="F15" s="207">
        <f t="shared" ref="E15:S22" si="8">E15</f>
        <v>23544</v>
      </c>
      <c r="G15" s="207">
        <f t="shared" si="8"/>
        <v>23544</v>
      </c>
      <c r="H15" s="207">
        <f t="shared" si="8"/>
        <v>23544</v>
      </c>
      <c r="I15" s="207">
        <f t="shared" si="8"/>
        <v>23544</v>
      </c>
      <c r="J15" s="207">
        <f t="shared" si="8"/>
        <v>23544</v>
      </c>
      <c r="K15" s="207">
        <f t="shared" si="8"/>
        <v>23544</v>
      </c>
      <c r="L15" s="207">
        <f t="shared" si="8"/>
        <v>23544</v>
      </c>
      <c r="M15" s="207">
        <f t="shared" si="8"/>
        <v>23544</v>
      </c>
      <c r="N15" s="207">
        <f t="shared" si="8"/>
        <v>23544</v>
      </c>
      <c r="O15" s="207">
        <f t="shared" si="8"/>
        <v>23544</v>
      </c>
      <c r="P15" s="207">
        <f>O15</f>
        <v>23544</v>
      </c>
      <c r="Q15" s="207">
        <v>27154</v>
      </c>
      <c r="R15" s="207">
        <f t="shared" si="8"/>
        <v>27154</v>
      </c>
      <c r="S15" s="207">
        <f t="shared" si="8"/>
        <v>27154</v>
      </c>
    </row>
    <row r="16" spans="1:26" x14ac:dyDescent="0.25">
      <c r="A16" s="22" t="s">
        <v>4</v>
      </c>
      <c r="B16" s="23" t="s">
        <v>30</v>
      </c>
      <c r="C16" s="206">
        <f t="shared" si="3"/>
        <v>362170</v>
      </c>
      <c r="D16" s="207">
        <f>EconomiaT38!S16</f>
        <v>0</v>
      </c>
      <c r="E16" s="207">
        <f t="shared" si="8"/>
        <v>0</v>
      </c>
      <c r="F16" s="207">
        <f t="shared" si="8"/>
        <v>0</v>
      </c>
      <c r="G16" s="207">
        <f t="shared" si="8"/>
        <v>0</v>
      </c>
      <c r="H16" s="207">
        <f t="shared" si="8"/>
        <v>0</v>
      </c>
      <c r="I16" s="207">
        <f t="shared" si="8"/>
        <v>0</v>
      </c>
      <c r="J16" s="207">
        <f t="shared" si="8"/>
        <v>0</v>
      </c>
      <c r="K16" s="207">
        <f t="shared" si="8"/>
        <v>0</v>
      </c>
      <c r="L16" s="207">
        <f t="shared" si="8"/>
        <v>0</v>
      </c>
      <c r="M16" s="207">
        <f t="shared" si="8"/>
        <v>0</v>
      </c>
      <c r="N16" s="207">
        <v>362170</v>
      </c>
      <c r="O16" s="207">
        <v>0</v>
      </c>
      <c r="P16" s="207">
        <f t="shared" si="8"/>
        <v>0</v>
      </c>
      <c r="Q16" s="207">
        <f t="shared" si="8"/>
        <v>0</v>
      </c>
      <c r="R16" s="207">
        <f t="shared" si="8"/>
        <v>0</v>
      </c>
      <c r="S16" s="207">
        <f t="shared" si="8"/>
        <v>0</v>
      </c>
    </row>
    <row r="17" spans="1:26" x14ac:dyDescent="0.25">
      <c r="A17" s="22" t="s">
        <v>6</v>
      </c>
      <c r="B17" s="23" t="str">
        <f>A17</f>
        <v>Empleados</v>
      </c>
      <c r="C17" s="206">
        <f t="shared" si="3"/>
        <v>642600</v>
      </c>
      <c r="D17" s="207">
        <v>48600</v>
      </c>
      <c r="E17" s="207">
        <v>45000</v>
      </c>
      <c r="F17" s="207">
        <v>39600</v>
      </c>
      <c r="G17" s="207">
        <v>41400</v>
      </c>
      <c r="H17" s="207">
        <f t="shared" si="8"/>
        <v>41400</v>
      </c>
      <c r="I17" s="207">
        <v>36000</v>
      </c>
      <c r="J17" s="207">
        <f t="shared" si="8"/>
        <v>36000</v>
      </c>
      <c r="K17" s="207">
        <f t="shared" si="8"/>
        <v>36000</v>
      </c>
      <c r="L17" s="207">
        <v>41400</v>
      </c>
      <c r="M17" s="207">
        <f t="shared" si="8"/>
        <v>41400</v>
      </c>
      <c r="N17" s="207">
        <v>36000</v>
      </c>
      <c r="O17" s="207">
        <v>41400</v>
      </c>
      <c r="P17" s="207">
        <v>43200</v>
      </c>
      <c r="Q17" s="207">
        <v>39600</v>
      </c>
      <c r="R17" s="207">
        <v>36000</v>
      </c>
      <c r="S17" s="207">
        <v>39600</v>
      </c>
    </row>
    <row r="18" spans="1:26" x14ac:dyDescent="0.25">
      <c r="A18" s="22" t="s">
        <v>8</v>
      </c>
      <c r="B18" s="23" t="str">
        <f>A18</f>
        <v>Juveniles</v>
      </c>
      <c r="C18" s="206">
        <f t="shared" si="3"/>
        <v>320000</v>
      </c>
      <c r="D18" s="207">
        <f>EconomiaT38!S18</f>
        <v>20000</v>
      </c>
      <c r="E18" s="207">
        <f t="shared" si="8"/>
        <v>20000</v>
      </c>
      <c r="F18" s="207">
        <f t="shared" si="8"/>
        <v>20000</v>
      </c>
      <c r="G18" s="207">
        <f t="shared" si="8"/>
        <v>20000</v>
      </c>
      <c r="H18" s="207">
        <f t="shared" si="8"/>
        <v>20000</v>
      </c>
      <c r="I18" s="207">
        <f t="shared" si="8"/>
        <v>20000</v>
      </c>
      <c r="J18" s="207">
        <f t="shared" si="8"/>
        <v>20000</v>
      </c>
      <c r="K18" s="207">
        <f t="shared" si="8"/>
        <v>20000</v>
      </c>
      <c r="L18" s="207">
        <f t="shared" si="8"/>
        <v>20000</v>
      </c>
      <c r="M18" s="207">
        <f t="shared" si="8"/>
        <v>20000</v>
      </c>
      <c r="N18" s="207">
        <f t="shared" si="8"/>
        <v>20000</v>
      </c>
      <c r="O18" s="207">
        <f t="shared" si="8"/>
        <v>20000</v>
      </c>
      <c r="P18" s="207">
        <f t="shared" si="8"/>
        <v>20000</v>
      </c>
      <c r="Q18" s="207">
        <f t="shared" si="8"/>
        <v>20000</v>
      </c>
      <c r="R18" s="207">
        <f t="shared" si="8"/>
        <v>20000</v>
      </c>
      <c r="S18" s="207">
        <f t="shared" si="8"/>
        <v>20000</v>
      </c>
    </row>
    <row r="19" spans="1:26" x14ac:dyDescent="0.25">
      <c r="A19" s="22" t="s">
        <v>9</v>
      </c>
      <c r="B19" s="23" t="s">
        <v>50</v>
      </c>
      <c r="C19" s="206">
        <f t="shared" si="3"/>
        <v>14123072</v>
      </c>
      <c r="D19" s="207">
        <v>0</v>
      </c>
      <c r="E19" s="207">
        <f>1250000+1044+155040+3684</f>
        <v>1409768</v>
      </c>
      <c r="F19" s="207">
        <v>2772606</v>
      </c>
      <c r="G19" s="207">
        <v>2107730</v>
      </c>
      <c r="H19" s="207">
        <v>1978800</v>
      </c>
      <c r="I19" s="207">
        <v>386976</v>
      </c>
      <c r="J19" s="207">
        <f>131020</f>
        <v>131020</v>
      </c>
      <c r="K19" s="207">
        <f>12250+588+26001+588+13000+470</f>
        <v>52897</v>
      </c>
      <c r="L19" s="207">
        <v>0</v>
      </c>
      <c r="M19" s="207">
        <f>200000+540</f>
        <v>200540</v>
      </c>
      <c r="N19" s="207">
        <v>0</v>
      </c>
      <c r="O19" s="207">
        <f>20564+90000+852+75480+660</f>
        <v>187556</v>
      </c>
      <c r="P19" s="207">
        <f>86000+900+90000+650+79000+1212+225000+1764+99000+876+100000+948+250000+1692+90000+564+250000+1740+90000+732+100000+924+75480+828+95000+852+88740+492+100000+804+77000+828+94000+756+58140+804</f>
        <v>2064726</v>
      </c>
      <c r="Q19" s="207">
        <f>51310+75000+1740</f>
        <v>128050</v>
      </c>
      <c r="R19" s="207">
        <f>400000+14820</f>
        <v>414820</v>
      </c>
      <c r="S19" s="207">
        <f>1699999+6612+580000+972</f>
        <v>2287583</v>
      </c>
    </row>
    <row r="20" spans="1:26" x14ac:dyDescent="0.25">
      <c r="A20" s="24" t="s">
        <v>7</v>
      </c>
      <c r="B20" s="23" t="s">
        <v>11</v>
      </c>
      <c r="C20" s="206">
        <f t="shared" si="3"/>
        <v>0</v>
      </c>
      <c r="D20" s="207">
        <f>EconomiaT38!S20</f>
        <v>0</v>
      </c>
      <c r="E20" s="207">
        <f t="shared" si="8"/>
        <v>0</v>
      </c>
      <c r="F20" s="207">
        <f t="shared" si="8"/>
        <v>0</v>
      </c>
      <c r="G20" s="207">
        <f t="shared" si="8"/>
        <v>0</v>
      </c>
      <c r="H20" s="207">
        <f t="shared" si="8"/>
        <v>0</v>
      </c>
      <c r="I20" s="207">
        <f t="shared" si="8"/>
        <v>0</v>
      </c>
      <c r="J20" s="207">
        <f t="shared" si="8"/>
        <v>0</v>
      </c>
      <c r="K20" s="207">
        <f t="shared" si="8"/>
        <v>0</v>
      </c>
      <c r="L20" s="207">
        <f t="shared" si="8"/>
        <v>0</v>
      </c>
      <c r="M20" s="207">
        <f t="shared" si="8"/>
        <v>0</v>
      </c>
      <c r="N20" s="207">
        <f t="shared" si="8"/>
        <v>0</v>
      </c>
      <c r="O20" s="207">
        <f t="shared" si="8"/>
        <v>0</v>
      </c>
      <c r="P20" s="207">
        <f t="shared" si="8"/>
        <v>0</v>
      </c>
      <c r="Q20" s="207">
        <f t="shared" si="8"/>
        <v>0</v>
      </c>
      <c r="R20" s="207">
        <f t="shared" si="8"/>
        <v>0</v>
      </c>
      <c r="S20" s="207">
        <f t="shared" si="8"/>
        <v>0</v>
      </c>
    </row>
    <row r="21" spans="1:26" x14ac:dyDescent="0.25">
      <c r="A21" s="24"/>
      <c r="B21" s="23" t="s">
        <v>818</v>
      </c>
      <c r="C21" s="206">
        <f t="shared" si="3"/>
        <v>133359</v>
      </c>
      <c r="D21" s="207">
        <v>19200</v>
      </c>
      <c r="E21" s="207">
        <v>14400</v>
      </c>
      <c r="F21" s="207">
        <v>5600</v>
      </c>
      <c r="G21" s="207">
        <v>20000</v>
      </c>
      <c r="H21" s="207">
        <v>17400</v>
      </c>
      <c r="I21" s="207">
        <v>5000</v>
      </c>
      <c r="J21" s="207">
        <v>2000</v>
      </c>
      <c r="K21" s="207">
        <v>1000</v>
      </c>
      <c r="L21" s="207">
        <v>1000</v>
      </c>
      <c r="M21" s="207">
        <v>5400</v>
      </c>
      <c r="N21" s="207">
        <v>6000</v>
      </c>
      <c r="O21" s="207">
        <v>10000</v>
      </c>
      <c r="P21" s="207">
        <v>9600</v>
      </c>
      <c r="Q21" s="207">
        <v>5600</v>
      </c>
      <c r="R21" s="207">
        <v>7000</v>
      </c>
      <c r="S21" s="207">
        <f>8000-3841</f>
        <v>4159</v>
      </c>
    </row>
    <row r="22" spans="1:26" x14ac:dyDescent="0.25">
      <c r="A22" s="22" t="s">
        <v>10</v>
      </c>
      <c r="B22" s="23" t="str">
        <f>A22</f>
        <v>Intereses</v>
      </c>
      <c r="C22" s="206">
        <f t="shared" si="3"/>
        <v>0</v>
      </c>
      <c r="D22" s="207">
        <f>EconomiaT38!S22</f>
        <v>0</v>
      </c>
      <c r="E22" s="207">
        <f t="shared" si="8"/>
        <v>0</v>
      </c>
      <c r="F22" s="207">
        <f t="shared" si="8"/>
        <v>0</v>
      </c>
      <c r="G22" s="207">
        <f t="shared" si="8"/>
        <v>0</v>
      </c>
      <c r="H22" s="207">
        <f t="shared" si="8"/>
        <v>0</v>
      </c>
      <c r="I22" s="207">
        <f t="shared" si="8"/>
        <v>0</v>
      </c>
      <c r="J22" s="207">
        <f t="shared" si="8"/>
        <v>0</v>
      </c>
      <c r="K22" s="207">
        <f t="shared" si="8"/>
        <v>0</v>
      </c>
      <c r="L22" s="207">
        <f t="shared" si="8"/>
        <v>0</v>
      </c>
      <c r="M22" s="207">
        <f t="shared" si="8"/>
        <v>0</v>
      </c>
      <c r="N22" s="207">
        <f t="shared" si="8"/>
        <v>0</v>
      </c>
      <c r="O22" s="207">
        <f t="shared" si="8"/>
        <v>0</v>
      </c>
      <c r="P22" s="207">
        <f t="shared" si="8"/>
        <v>0</v>
      </c>
      <c r="Q22" s="207">
        <f t="shared" si="8"/>
        <v>0</v>
      </c>
      <c r="R22" s="207">
        <f t="shared" si="8"/>
        <v>0</v>
      </c>
      <c r="S22" s="207">
        <f t="shared" si="8"/>
        <v>0</v>
      </c>
    </row>
    <row r="23" spans="1:26" s="31" customFormat="1" ht="18.75" x14ac:dyDescent="0.3">
      <c r="A23" s="25" t="s">
        <v>15</v>
      </c>
      <c r="B23" s="26"/>
      <c r="C23" s="209">
        <f t="shared" si="3"/>
        <v>17530167</v>
      </c>
      <c r="D23" s="210">
        <f t="shared" ref="D23:I23" si="9">SUM(D14:D22)</f>
        <v>182758</v>
      </c>
      <c r="E23" s="210">
        <f t="shared" si="9"/>
        <v>1584516</v>
      </c>
      <c r="F23" s="210">
        <f t="shared" si="9"/>
        <v>2930968</v>
      </c>
      <c r="G23" s="210">
        <f t="shared" si="9"/>
        <v>2284038</v>
      </c>
      <c r="H23" s="210">
        <f t="shared" si="9"/>
        <v>2158980</v>
      </c>
      <c r="I23" s="210">
        <f t="shared" si="9"/>
        <v>570616</v>
      </c>
      <c r="J23" s="210">
        <f t="shared" ref="J23:S23" si="10">SUM(J14:J22)</f>
        <v>314882</v>
      </c>
      <c r="K23" s="210">
        <f t="shared" si="10"/>
        <v>237081</v>
      </c>
      <c r="L23" s="210">
        <f t="shared" si="10"/>
        <v>188746</v>
      </c>
      <c r="M23" s="210">
        <f t="shared" si="10"/>
        <v>394310</v>
      </c>
      <c r="N23" s="210">
        <f t="shared" si="10"/>
        <v>551238</v>
      </c>
      <c r="O23" s="210">
        <f t="shared" si="10"/>
        <v>386374</v>
      </c>
      <c r="P23" s="210">
        <f t="shared" si="10"/>
        <v>2266478</v>
      </c>
      <c r="Q23" s="210">
        <f t="shared" si="10"/>
        <v>343394</v>
      </c>
      <c r="R23" s="210">
        <f t="shared" si="10"/>
        <v>625382</v>
      </c>
      <c r="S23" s="210">
        <f t="shared" si="10"/>
        <v>2510406</v>
      </c>
      <c r="Y23" s="23" t="s">
        <v>1</v>
      </c>
      <c r="Z23" s="220">
        <f>C14/$C$23</f>
        <v>8.9071142334240169E-2</v>
      </c>
    </row>
    <row r="24" spans="1:26" s="7" customFormat="1" ht="18.75" x14ac:dyDescent="0.3">
      <c r="A24" s="9" t="s">
        <v>20</v>
      </c>
      <c r="B24" s="9"/>
      <c r="C24" s="197">
        <f>C5+C13-C23</f>
        <v>748238</v>
      </c>
      <c r="D24" s="197">
        <f t="shared" ref="D24:S24" si="11">D5+D13-D23</f>
        <v>528037</v>
      </c>
      <c r="E24" s="197">
        <f t="shared" si="11"/>
        <v>1155182</v>
      </c>
      <c r="F24" s="197">
        <f t="shared" si="11"/>
        <v>611863</v>
      </c>
      <c r="G24" s="197">
        <f t="shared" si="11"/>
        <v>276617</v>
      </c>
      <c r="H24" s="197">
        <f t="shared" si="11"/>
        <v>867192</v>
      </c>
      <c r="I24" s="197">
        <f t="shared" si="11"/>
        <v>560598</v>
      </c>
      <c r="J24" s="197">
        <f t="shared" si="11"/>
        <v>686340</v>
      </c>
      <c r="K24" s="197">
        <f t="shared" si="11"/>
        <v>931855</v>
      </c>
      <c r="L24" s="197">
        <f t="shared" si="11"/>
        <v>1180664</v>
      </c>
      <c r="M24" s="197">
        <f t="shared" si="11"/>
        <v>1113218</v>
      </c>
      <c r="N24" s="197">
        <f t="shared" si="11"/>
        <v>1215418</v>
      </c>
      <c r="O24" s="197">
        <f t="shared" si="11"/>
        <v>2139152</v>
      </c>
      <c r="P24" s="197">
        <f t="shared" si="11"/>
        <v>17521</v>
      </c>
      <c r="Q24" s="197">
        <f t="shared" si="11"/>
        <v>1126255</v>
      </c>
      <c r="R24" s="197">
        <f t="shared" si="11"/>
        <v>2971558</v>
      </c>
      <c r="S24" s="197">
        <f t="shared" si="11"/>
        <v>748238</v>
      </c>
      <c r="Y24" s="23" t="s">
        <v>29</v>
      </c>
      <c r="Z24" s="220">
        <f t="shared" ref="Z24:Z31" si="12">C15/$C$23</f>
        <v>2.2106691852964093E-2</v>
      </c>
    </row>
    <row r="25" spans="1:26" s="178" customFormat="1" x14ac:dyDescent="0.25">
      <c r="A25" s="182"/>
      <c r="B25" s="182"/>
      <c r="C25" s="182"/>
      <c r="D25" s="183">
        <f>D2+6</f>
        <v>41299</v>
      </c>
      <c r="E25" s="183">
        <f>D25+7</f>
        <v>41306</v>
      </c>
      <c r="F25" s="183">
        <f t="shared" ref="F25:S25" si="13">E25+7</f>
        <v>41313</v>
      </c>
      <c r="G25" s="183">
        <f t="shared" si="13"/>
        <v>41320</v>
      </c>
      <c r="H25" s="183">
        <f t="shared" si="13"/>
        <v>41327</v>
      </c>
      <c r="I25" s="183">
        <f t="shared" si="13"/>
        <v>41334</v>
      </c>
      <c r="J25" s="183">
        <f t="shared" si="13"/>
        <v>41341</v>
      </c>
      <c r="K25" s="183">
        <f t="shared" si="13"/>
        <v>41348</v>
      </c>
      <c r="L25" s="183">
        <f t="shared" si="13"/>
        <v>41355</v>
      </c>
      <c r="M25" s="183">
        <f t="shared" si="13"/>
        <v>41362</v>
      </c>
      <c r="N25" s="183">
        <f t="shared" si="13"/>
        <v>41369</v>
      </c>
      <c r="O25" s="183">
        <f t="shared" si="13"/>
        <v>41376</v>
      </c>
      <c r="P25" s="183">
        <f t="shared" si="13"/>
        <v>41383</v>
      </c>
      <c r="Q25" s="183">
        <f t="shared" si="13"/>
        <v>41390</v>
      </c>
      <c r="R25" s="183">
        <f t="shared" si="13"/>
        <v>41397</v>
      </c>
      <c r="S25" s="183">
        <f t="shared" si="13"/>
        <v>41404</v>
      </c>
      <c r="Y25" s="23" t="s">
        <v>30</v>
      </c>
      <c r="Z25" s="220">
        <f t="shared" si="12"/>
        <v>2.0659814592753168E-2</v>
      </c>
    </row>
    <row r="26" spans="1:26" s="178" customFormat="1" x14ac:dyDescent="0.25">
      <c r="A26" s="732" t="s">
        <v>942</v>
      </c>
      <c r="B26" s="732"/>
      <c r="C26" s="223">
        <f>C6+C7+C11</f>
        <v>4194345</v>
      </c>
      <c r="D26" s="223">
        <f t="shared" ref="D26:S26" si="14">D6+D7+D11</f>
        <v>195928</v>
      </c>
      <c r="E26" s="223">
        <f t="shared" si="14"/>
        <v>530882</v>
      </c>
      <c r="F26" s="223">
        <f t="shared" si="14"/>
        <v>269404</v>
      </c>
      <c r="G26" s="223">
        <f t="shared" si="14"/>
        <v>361988</v>
      </c>
      <c r="H26" s="223">
        <f t="shared" si="14"/>
        <v>92693</v>
      </c>
      <c r="I26" s="223">
        <f t="shared" si="14"/>
        <v>96476</v>
      </c>
      <c r="J26" s="223">
        <f t="shared" si="14"/>
        <v>391206</v>
      </c>
      <c r="K26" s="223">
        <f t="shared" si="14"/>
        <v>91140</v>
      </c>
      <c r="L26" s="223">
        <f t="shared" si="14"/>
        <v>420365</v>
      </c>
      <c r="M26" s="223">
        <f t="shared" si="14"/>
        <v>90089</v>
      </c>
      <c r="N26" s="223">
        <f t="shared" si="14"/>
        <v>431513</v>
      </c>
      <c r="O26" s="223">
        <f t="shared" si="14"/>
        <v>423558</v>
      </c>
      <c r="P26" s="223">
        <f t="shared" si="14"/>
        <v>100110</v>
      </c>
      <c r="Q26" s="223">
        <f t="shared" si="14"/>
        <v>454073</v>
      </c>
      <c r="R26" s="223">
        <f t="shared" si="14"/>
        <v>94494</v>
      </c>
      <c r="S26" s="223">
        <f t="shared" si="14"/>
        <v>150426</v>
      </c>
      <c r="T26" s="194"/>
      <c r="Y26" s="23" t="s">
        <v>6</v>
      </c>
      <c r="Z26" s="220">
        <f t="shared" si="12"/>
        <v>3.6656809943681652E-2</v>
      </c>
    </row>
    <row r="27" spans="1:26" s="178" customFormat="1" x14ac:dyDescent="0.25">
      <c r="A27" s="733" t="s">
        <v>943</v>
      </c>
      <c r="B27" s="733"/>
      <c r="C27" s="224">
        <f>C14+C15+C17+C18+C21</f>
        <v>3044925</v>
      </c>
      <c r="D27" s="224">
        <f t="shared" ref="D27:S27" si="15">D14+D15+D17+D18+D21</f>
        <v>182758</v>
      </c>
      <c r="E27" s="224">
        <f t="shared" si="15"/>
        <v>174748</v>
      </c>
      <c r="F27" s="224">
        <f t="shared" si="15"/>
        <v>158362</v>
      </c>
      <c r="G27" s="224">
        <f t="shared" si="15"/>
        <v>176308</v>
      </c>
      <c r="H27" s="224">
        <f t="shared" si="15"/>
        <v>180180</v>
      </c>
      <c r="I27" s="224">
        <f t="shared" si="15"/>
        <v>183640</v>
      </c>
      <c r="J27" s="224">
        <f t="shared" si="15"/>
        <v>183862</v>
      </c>
      <c r="K27" s="224">
        <f t="shared" si="15"/>
        <v>184184</v>
      </c>
      <c r="L27" s="224">
        <f t="shared" si="15"/>
        <v>188746</v>
      </c>
      <c r="M27" s="224">
        <f t="shared" si="15"/>
        <v>193770</v>
      </c>
      <c r="N27" s="224">
        <f t="shared" si="15"/>
        <v>189068</v>
      </c>
      <c r="O27" s="224">
        <f t="shared" si="15"/>
        <v>198818</v>
      </c>
      <c r="P27" s="224">
        <f t="shared" si="15"/>
        <v>201752</v>
      </c>
      <c r="Q27" s="224">
        <f t="shared" si="15"/>
        <v>215344</v>
      </c>
      <c r="R27" s="224">
        <f t="shared" si="15"/>
        <v>210562</v>
      </c>
      <c r="S27" s="224">
        <f t="shared" si="15"/>
        <v>222823</v>
      </c>
      <c r="T27" s="195"/>
      <c r="Y27" s="23" t="s">
        <v>8</v>
      </c>
      <c r="Z27" s="220">
        <f t="shared" si="12"/>
        <v>1.8254247093025412E-2</v>
      </c>
    </row>
    <row r="28" spans="1:26" x14ac:dyDescent="0.25">
      <c r="A28" s="734" t="s">
        <v>944</v>
      </c>
      <c r="B28" s="734"/>
      <c r="C28" s="212">
        <f>C26-C27</f>
        <v>1149420</v>
      </c>
      <c r="D28" s="212">
        <f t="shared" ref="D28:S28" si="16">D26-D27</f>
        <v>13170</v>
      </c>
      <c r="E28" s="212">
        <f t="shared" si="16"/>
        <v>356134</v>
      </c>
      <c r="F28" s="212">
        <f t="shared" si="16"/>
        <v>111042</v>
      </c>
      <c r="G28" s="212">
        <f t="shared" si="16"/>
        <v>185680</v>
      </c>
      <c r="H28" s="212">
        <f t="shared" si="16"/>
        <v>-87487</v>
      </c>
      <c r="I28" s="212">
        <f t="shared" si="16"/>
        <v>-87164</v>
      </c>
      <c r="J28" s="212">
        <f t="shared" si="16"/>
        <v>207344</v>
      </c>
      <c r="K28" s="212">
        <f t="shared" si="16"/>
        <v>-93044</v>
      </c>
      <c r="L28" s="212">
        <f t="shared" si="16"/>
        <v>231619</v>
      </c>
      <c r="M28" s="212">
        <f t="shared" si="16"/>
        <v>-103681</v>
      </c>
      <c r="N28" s="212">
        <f t="shared" si="16"/>
        <v>242445</v>
      </c>
      <c r="O28" s="212">
        <f t="shared" si="16"/>
        <v>224740</v>
      </c>
      <c r="P28" s="212">
        <f t="shared" si="16"/>
        <v>-101642</v>
      </c>
      <c r="Q28" s="212">
        <f t="shared" si="16"/>
        <v>238729</v>
      </c>
      <c r="R28" s="212">
        <f t="shared" si="16"/>
        <v>-116068</v>
      </c>
      <c r="S28" s="212">
        <f t="shared" si="16"/>
        <v>-72397</v>
      </c>
      <c r="T28" s="192"/>
      <c r="Y28" s="23" t="s">
        <v>50</v>
      </c>
      <c r="Z28" s="220">
        <f t="shared" si="12"/>
        <v>0.80564389375183931</v>
      </c>
    </row>
    <row r="29" spans="1:26" x14ac:dyDescent="0.25">
      <c r="A29" s="732" t="s">
        <v>945</v>
      </c>
      <c r="B29" s="732"/>
      <c r="C29" s="223">
        <f>C8+C9+C10+C12</f>
        <v>13570198</v>
      </c>
      <c r="D29" s="223">
        <f t="shared" ref="D29:S29" si="17">D8+D9+D10+D12</f>
        <v>1005</v>
      </c>
      <c r="E29" s="223">
        <f t="shared" si="17"/>
        <v>1680779</v>
      </c>
      <c r="F29" s="223">
        <f t="shared" si="17"/>
        <v>2118245</v>
      </c>
      <c r="G29" s="223">
        <f t="shared" si="17"/>
        <v>1586804</v>
      </c>
      <c r="H29" s="223">
        <f t="shared" si="17"/>
        <v>2656862</v>
      </c>
      <c r="I29" s="223">
        <f t="shared" si="17"/>
        <v>167546</v>
      </c>
      <c r="J29" s="223">
        <f t="shared" si="17"/>
        <v>49418</v>
      </c>
      <c r="K29" s="223">
        <f t="shared" si="17"/>
        <v>391456</v>
      </c>
      <c r="L29" s="223">
        <f t="shared" si="17"/>
        <v>17190</v>
      </c>
      <c r="M29" s="223">
        <f t="shared" si="17"/>
        <v>236775</v>
      </c>
      <c r="N29" s="223">
        <f t="shared" si="17"/>
        <v>221925</v>
      </c>
      <c r="O29" s="223">
        <f t="shared" si="17"/>
        <v>886550</v>
      </c>
      <c r="P29" s="223">
        <f t="shared" si="17"/>
        <v>44737</v>
      </c>
      <c r="Q29" s="223">
        <f t="shared" si="17"/>
        <v>998055</v>
      </c>
      <c r="R29" s="223">
        <f t="shared" si="17"/>
        <v>2376191</v>
      </c>
      <c r="S29" s="223">
        <f t="shared" si="17"/>
        <v>136660</v>
      </c>
      <c r="T29" s="192"/>
      <c r="Y29" s="23" t="s">
        <v>11</v>
      </c>
      <c r="Z29" s="220">
        <f t="shared" si="12"/>
        <v>0</v>
      </c>
    </row>
    <row r="30" spans="1:26" s="6" customFormat="1" x14ac:dyDescent="0.25">
      <c r="A30" s="733" t="s">
        <v>946</v>
      </c>
      <c r="B30" s="733"/>
      <c r="C30" s="224">
        <f>C16+C19+C20+C22</f>
        <v>14485242</v>
      </c>
      <c r="D30" s="224">
        <f t="shared" ref="D30:S30" si="18">D16+D19+D20+D22</f>
        <v>0</v>
      </c>
      <c r="E30" s="224">
        <f t="shared" si="18"/>
        <v>1409768</v>
      </c>
      <c r="F30" s="224">
        <f t="shared" si="18"/>
        <v>2772606</v>
      </c>
      <c r="G30" s="224">
        <f t="shared" si="18"/>
        <v>2107730</v>
      </c>
      <c r="H30" s="224">
        <f t="shared" si="18"/>
        <v>1978800</v>
      </c>
      <c r="I30" s="224">
        <f t="shared" si="18"/>
        <v>386976</v>
      </c>
      <c r="J30" s="224">
        <f t="shared" si="18"/>
        <v>131020</v>
      </c>
      <c r="K30" s="224">
        <f t="shared" si="18"/>
        <v>52897</v>
      </c>
      <c r="L30" s="224">
        <f t="shared" si="18"/>
        <v>0</v>
      </c>
      <c r="M30" s="224">
        <f t="shared" si="18"/>
        <v>200540</v>
      </c>
      <c r="N30" s="224">
        <f t="shared" si="18"/>
        <v>362170</v>
      </c>
      <c r="O30" s="224">
        <f t="shared" si="18"/>
        <v>187556</v>
      </c>
      <c r="P30" s="224">
        <f t="shared" si="18"/>
        <v>2064726</v>
      </c>
      <c r="Q30" s="224">
        <f t="shared" si="18"/>
        <v>128050</v>
      </c>
      <c r="R30" s="224">
        <f t="shared" si="18"/>
        <v>414820</v>
      </c>
      <c r="S30" s="224">
        <f t="shared" si="18"/>
        <v>2287583</v>
      </c>
      <c r="Y30" s="23" t="s">
        <v>818</v>
      </c>
      <c r="Z30" s="220">
        <f t="shared" si="12"/>
        <v>7.6074004314961741E-3</v>
      </c>
    </row>
    <row r="31" spans="1:26" s="6" customFormat="1" x14ac:dyDescent="0.25">
      <c r="A31" s="734" t="s">
        <v>947</v>
      </c>
      <c r="B31" s="734"/>
      <c r="C31" s="212">
        <f>C29-C30</f>
        <v>-915044</v>
      </c>
      <c r="D31" s="212">
        <f t="shared" ref="D31:S31" si="19">D29-D30</f>
        <v>1005</v>
      </c>
      <c r="E31" s="212">
        <f t="shared" si="19"/>
        <v>271011</v>
      </c>
      <c r="F31" s="212">
        <f t="shared" si="19"/>
        <v>-654361</v>
      </c>
      <c r="G31" s="212">
        <f t="shared" si="19"/>
        <v>-520926</v>
      </c>
      <c r="H31" s="212">
        <f t="shared" si="19"/>
        <v>678062</v>
      </c>
      <c r="I31" s="212">
        <f t="shared" si="19"/>
        <v>-219430</v>
      </c>
      <c r="J31" s="212">
        <f t="shared" si="19"/>
        <v>-81602</v>
      </c>
      <c r="K31" s="212">
        <f t="shared" si="19"/>
        <v>338559</v>
      </c>
      <c r="L31" s="212">
        <f t="shared" si="19"/>
        <v>17190</v>
      </c>
      <c r="M31" s="212">
        <f t="shared" si="19"/>
        <v>36235</v>
      </c>
      <c r="N31" s="212">
        <f t="shared" si="19"/>
        <v>-140245</v>
      </c>
      <c r="O31" s="212">
        <f t="shared" si="19"/>
        <v>698994</v>
      </c>
      <c r="P31" s="212">
        <f t="shared" si="19"/>
        <v>-2019989</v>
      </c>
      <c r="Q31" s="212">
        <f t="shared" si="19"/>
        <v>870005</v>
      </c>
      <c r="R31" s="212">
        <f t="shared" si="19"/>
        <v>1961371</v>
      </c>
      <c r="S31" s="212">
        <f t="shared" si="19"/>
        <v>-2150923</v>
      </c>
      <c r="Y31" s="23" t="s">
        <v>10</v>
      </c>
      <c r="Z31" s="220">
        <f t="shared" si="12"/>
        <v>0</v>
      </c>
    </row>
    <row r="32" spans="1:26" s="6" customFormat="1" ht="18.75" x14ac:dyDescent="0.3">
      <c r="A32" s="192"/>
      <c r="B32" s="192"/>
      <c r="C32" s="192"/>
      <c r="D32" s="192"/>
      <c r="E32" s="192"/>
      <c r="F32" s="192"/>
      <c r="G32" s="192"/>
      <c r="H32" s="192"/>
      <c r="I32" s="192"/>
      <c r="J32" s="192"/>
      <c r="K32" s="192"/>
      <c r="L32" s="192"/>
      <c r="M32" s="192"/>
      <c r="N32" s="192"/>
      <c r="O32" s="192"/>
      <c r="P32" s="192"/>
      <c r="Q32" s="192"/>
      <c r="R32" s="192"/>
      <c r="S32" s="192"/>
      <c r="Z32" s="221">
        <f>SUM(Z23:Z31)</f>
        <v>1</v>
      </c>
    </row>
    <row r="33" spans="1:26" s="6" customFormat="1" ht="18.75" x14ac:dyDescent="0.3">
      <c r="A33" s="27"/>
      <c r="B33" s="752" t="s">
        <v>821</v>
      </c>
      <c r="C33" s="167" t="s">
        <v>819</v>
      </c>
      <c r="D33" s="189">
        <v>4202001</v>
      </c>
      <c r="E33" s="189">
        <v>5202001</v>
      </c>
      <c r="F33" s="189">
        <v>6094001</v>
      </c>
      <c r="G33" s="189">
        <v>6664001</v>
      </c>
      <c r="H33" s="189">
        <v>6664001</v>
      </c>
      <c r="I33" s="189">
        <v>6664001</v>
      </c>
      <c r="J33" s="189">
        <v>6664001</v>
      </c>
      <c r="K33" s="189">
        <v>6664001</v>
      </c>
      <c r="L33" s="189">
        <v>6664001</v>
      </c>
      <c r="M33" s="189">
        <v>6864001</v>
      </c>
      <c r="N33" s="189">
        <v>6864001</v>
      </c>
      <c r="O33" s="189">
        <v>6864001</v>
      </c>
      <c r="P33" s="189">
        <v>6864001</v>
      </c>
      <c r="Q33" s="189">
        <v>6939001</v>
      </c>
      <c r="R33" s="189">
        <v>5489001</v>
      </c>
      <c r="S33" s="189">
        <v>7769000</v>
      </c>
      <c r="Y33" s="746">
        <f>C23</f>
        <v>17530167</v>
      </c>
      <c r="Z33" s="747"/>
    </row>
    <row r="34" spans="1:26" x14ac:dyDescent="0.25">
      <c r="A34" s="27"/>
      <c r="B34" s="753"/>
      <c r="C34" s="167" t="s">
        <v>481</v>
      </c>
      <c r="D34" s="189">
        <v>9468834</v>
      </c>
      <c r="E34" s="189">
        <v>8198874</v>
      </c>
      <c r="F34" s="189">
        <v>8497152</v>
      </c>
      <c r="G34" s="189">
        <v>8997152</v>
      </c>
      <c r="H34" s="189">
        <v>9057152</v>
      </c>
      <c r="I34" s="189">
        <v>9284612</v>
      </c>
      <c r="J34" s="189">
        <v>8891611</v>
      </c>
      <c r="K34" s="189">
        <v>8891611</v>
      </c>
      <c r="L34" s="189">
        <v>8891611</v>
      </c>
      <c r="M34" s="189">
        <v>8891611</v>
      </c>
      <c r="N34" s="189">
        <v>8891611</v>
      </c>
      <c r="O34" s="189">
        <v>8891611</v>
      </c>
      <c r="P34" s="189">
        <v>8891611</v>
      </c>
      <c r="Q34" s="189">
        <v>7921611</v>
      </c>
      <c r="R34" s="189">
        <v>8321611</v>
      </c>
      <c r="S34" s="189">
        <v>8321611</v>
      </c>
    </row>
    <row r="35" spans="1:26" x14ac:dyDescent="0.25">
      <c r="A35" s="27"/>
      <c r="B35" s="753"/>
      <c r="C35" s="167" t="s">
        <v>1385</v>
      </c>
      <c r="D35" s="189">
        <v>237040</v>
      </c>
      <c r="E35" s="189">
        <v>169040</v>
      </c>
      <c r="F35" s="189">
        <v>169040</v>
      </c>
      <c r="G35" s="189">
        <v>169040</v>
      </c>
      <c r="H35" s="189">
        <v>25000</v>
      </c>
      <c r="I35" s="189">
        <v>25000</v>
      </c>
      <c r="J35" s="189">
        <v>168251</v>
      </c>
      <c r="K35" s="189">
        <v>181251</v>
      </c>
      <c r="L35" s="189">
        <v>181251</v>
      </c>
      <c r="M35" s="189">
        <v>181251</v>
      </c>
      <c r="N35" s="189">
        <v>51251</v>
      </c>
      <c r="O35" s="189">
        <v>236731</v>
      </c>
      <c r="P35" s="189">
        <v>2284091</v>
      </c>
      <c r="Q35" s="189">
        <v>2284091</v>
      </c>
      <c r="R35" s="189">
        <v>2284091</v>
      </c>
      <c r="S35" s="189">
        <v>2284091</v>
      </c>
    </row>
    <row r="36" spans="1:26" x14ac:dyDescent="0.25">
      <c r="A36" s="27"/>
      <c r="B36" s="754"/>
      <c r="C36" s="299" t="s">
        <v>291</v>
      </c>
      <c r="D36" s="300">
        <f>D35+D34+D33</f>
        <v>13907875</v>
      </c>
      <c r="E36" s="300">
        <f>E35+E34+E33</f>
        <v>13569915</v>
      </c>
      <c r="F36" s="300">
        <v>14760193</v>
      </c>
      <c r="G36" s="300">
        <v>15830193</v>
      </c>
      <c r="H36" s="300">
        <v>15746153</v>
      </c>
      <c r="I36" s="300">
        <v>15973613</v>
      </c>
      <c r="J36" s="300">
        <f>J35+J34+J33</f>
        <v>15723863</v>
      </c>
      <c r="K36" s="300">
        <v>15736863</v>
      </c>
      <c r="L36" s="300">
        <v>15736863</v>
      </c>
      <c r="M36" s="300">
        <v>15936863</v>
      </c>
      <c r="N36" s="300">
        <v>15806863</v>
      </c>
      <c r="O36" s="300">
        <v>15992343</v>
      </c>
      <c r="P36" s="300">
        <v>18039703</v>
      </c>
      <c r="Q36" s="300">
        <v>17144703</v>
      </c>
      <c r="R36" s="300">
        <v>16094703</v>
      </c>
      <c r="S36" s="300">
        <v>18374702</v>
      </c>
    </row>
    <row r="37" spans="1:26" x14ac:dyDescent="0.25">
      <c r="C37" s="192"/>
      <c r="D37" s="247"/>
      <c r="E37" s="247"/>
      <c r="J37"/>
      <c r="K37"/>
    </row>
    <row r="38" spans="1:26" x14ac:dyDescent="0.25">
      <c r="H38" s="323"/>
      <c r="I38" s="323"/>
      <c r="J38" s="247"/>
      <c r="K38"/>
    </row>
    <row r="39" spans="1:26" ht="15" customHeight="1" x14ac:dyDescent="0.25">
      <c r="H39" s="323"/>
      <c r="I39" s="18"/>
      <c r="J39"/>
      <c r="K39"/>
    </row>
    <row r="40" spans="1:26" ht="15" customHeight="1" x14ac:dyDescent="0.25">
      <c r="H40" s="731"/>
      <c r="I40" s="731"/>
      <c r="J40" s="731"/>
      <c r="K40" s="731"/>
    </row>
    <row r="41" spans="1:26" x14ac:dyDescent="0.25">
      <c r="H41" s="323"/>
      <c r="I41" s="323"/>
      <c r="J41" s="323"/>
      <c r="K41" s="323"/>
    </row>
    <row r="42" spans="1:26" x14ac:dyDescent="0.25">
      <c r="H42" s="323"/>
      <c r="I42" s="323"/>
      <c r="J42" s="323"/>
      <c r="K42" s="323"/>
    </row>
    <row r="43" spans="1:26" x14ac:dyDescent="0.25">
      <c r="H43" s="323"/>
      <c r="I43" s="323"/>
      <c r="J43" s="323"/>
      <c r="K43" s="323"/>
    </row>
    <row r="44" spans="1:26" x14ac:dyDescent="0.25">
      <c r="H44" s="323"/>
      <c r="I44" s="323"/>
      <c r="J44" s="323"/>
      <c r="K44" s="323"/>
    </row>
    <row r="45" spans="1:26" x14ac:dyDescent="0.25">
      <c r="H45" s="323"/>
      <c r="I45" s="323"/>
      <c r="J45" s="323"/>
      <c r="K45" s="323"/>
    </row>
    <row r="46" spans="1:26" x14ac:dyDescent="0.25">
      <c r="H46" s="323"/>
      <c r="I46" s="323"/>
      <c r="J46" s="323"/>
      <c r="K46" s="323"/>
    </row>
    <row r="47" spans="1:26" x14ac:dyDescent="0.25">
      <c r="H47" s="323"/>
      <c r="I47" s="323"/>
      <c r="J47" s="323"/>
      <c r="K47" s="323"/>
    </row>
    <row r="48" spans="1:26" x14ac:dyDescent="0.25">
      <c r="H48" s="323"/>
      <c r="I48" s="323"/>
      <c r="J48" s="323"/>
      <c r="K48" s="323"/>
    </row>
    <row r="49" spans="8:11" x14ac:dyDescent="0.25">
      <c r="H49" s="727"/>
      <c r="I49" s="727"/>
      <c r="J49" s="727"/>
      <c r="K49" s="727"/>
    </row>
    <row r="50" spans="8:11" x14ac:dyDescent="0.25">
      <c r="H50" s="323"/>
      <c r="I50" s="323"/>
      <c r="J50" s="323"/>
      <c r="K50" s="323"/>
    </row>
    <row r="51" spans="8:11" x14ac:dyDescent="0.25">
      <c r="H51" s="727"/>
      <c r="I51" s="727"/>
      <c r="J51" s="727"/>
      <c r="K51" s="727"/>
    </row>
    <row r="52" spans="8:11" ht="15" customHeight="1" x14ac:dyDescent="0.25">
      <c r="H52" s="727"/>
      <c r="I52" s="727"/>
      <c r="J52" s="727"/>
      <c r="K52" s="4"/>
    </row>
  </sheetData>
  <mergeCells count="15">
    <mergeCell ref="H49:K49"/>
    <mergeCell ref="H51:K51"/>
    <mergeCell ref="H52:J52"/>
    <mergeCell ref="A30:B30"/>
    <mergeCell ref="A31:B31"/>
    <mergeCell ref="B33:B36"/>
    <mergeCell ref="Y33:Z33"/>
    <mergeCell ref="H40:I40"/>
    <mergeCell ref="J40:K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81"/>
  <sheetViews>
    <sheetView zoomScale="80" zoomScaleNormal="80" workbookViewId="0">
      <pane xSplit="9" ySplit="3" topLeftCell="J4" activePane="bottomRight" state="frozen"/>
      <selection pane="topRight" activeCell="J1" sqref="J1"/>
      <selection pane="bottomLeft" activeCell="A3" sqref="A3"/>
      <selection pane="bottomRight" activeCell="N21" sqref="N21"/>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17" bestFit="1" customWidth="1"/>
    <col min="6" max="6" width="18" style="225" bestFit="1" customWidth="1"/>
    <col min="7" max="7" width="6.5703125" style="225" bestFit="1" customWidth="1"/>
    <col min="8" max="8" width="2.85546875" customWidth="1"/>
    <col min="9" max="9" width="8.42578125" bestFit="1" customWidth="1"/>
    <col min="10" max="10" width="15.28515625" style="2" bestFit="1" customWidth="1"/>
    <col min="11" max="11" width="12.85546875" bestFit="1" customWidth="1"/>
    <col min="12" max="12" width="10.140625" bestFit="1" customWidth="1"/>
    <col min="13" max="13" width="13.85546875" bestFit="1" customWidth="1"/>
    <col min="14" max="16" width="12.85546875" bestFit="1" customWidth="1"/>
    <col min="17" max="17" width="8.42578125" style="321" bestFit="1" customWidth="1"/>
    <col min="18" max="18" width="9.140625" bestFit="1" customWidth="1"/>
    <col min="19" max="19" width="10" bestFit="1" customWidth="1"/>
    <col min="20" max="20" width="11.7109375" bestFit="1" customWidth="1"/>
  </cols>
  <sheetData>
    <row r="1" spans="2:20" ht="9" customHeight="1" x14ac:dyDescent="0.25"/>
    <row r="2" spans="2:20" ht="21" x14ac:dyDescent="0.35">
      <c r="B2" s="735" t="s">
        <v>1309</v>
      </c>
      <c r="C2" s="736"/>
      <c r="D2" s="736"/>
      <c r="E2" s="736"/>
      <c r="F2" s="736"/>
      <c r="G2" s="757"/>
      <c r="I2" s="758" t="s">
        <v>1293</v>
      </c>
      <c r="J2" s="758"/>
      <c r="K2" s="758"/>
      <c r="L2" s="758"/>
      <c r="M2" s="758"/>
      <c r="N2" s="758"/>
      <c r="O2" s="758"/>
      <c r="P2" s="758"/>
      <c r="Q2" s="758"/>
      <c r="R2" s="758"/>
      <c r="S2" s="758"/>
      <c r="T2" s="758"/>
    </row>
    <row r="3" spans="2:20" x14ac:dyDescent="0.25">
      <c r="B3" s="755" t="s">
        <v>1025</v>
      </c>
      <c r="C3" s="749"/>
      <c r="D3" s="749"/>
      <c r="E3" s="749"/>
      <c r="F3" s="749"/>
      <c r="G3" s="756"/>
      <c r="I3" s="346" t="s">
        <v>36</v>
      </c>
      <c r="J3" s="17" t="s">
        <v>481</v>
      </c>
      <c r="K3" s="17" t="s">
        <v>50</v>
      </c>
      <c r="L3" s="17" t="s">
        <v>1332</v>
      </c>
      <c r="M3" s="17" t="s">
        <v>879</v>
      </c>
      <c r="N3" s="17" t="s">
        <v>1333</v>
      </c>
      <c r="O3" s="17" t="s">
        <v>950</v>
      </c>
      <c r="P3" s="17" t="s">
        <v>1336</v>
      </c>
      <c r="Q3" s="406" t="s">
        <v>1326</v>
      </c>
      <c r="R3" s="345" t="s">
        <v>1337</v>
      </c>
      <c r="S3" s="345" t="s">
        <v>1334</v>
      </c>
      <c r="T3" s="345" t="s">
        <v>1335</v>
      </c>
    </row>
    <row r="4" spans="2:20" ht="18.75" x14ac:dyDescent="0.3">
      <c r="B4" s="737" t="s">
        <v>948</v>
      </c>
      <c r="C4" s="738"/>
      <c r="D4" s="268"/>
      <c r="E4" s="739" t="s">
        <v>949</v>
      </c>
      <c r="F4" s="738"/>
      <c r="G4" s="268"/>
      <c r="I4" s="187" t="s">
        <v>1006</v>
      </c>
      <c r="J4" s="336" t="s">
        <v>1243</v>
      </c>
      <c r="K4" s="333">
        <v>1450000</v>
      </c>
      <c r="L4" s="333">
        <v>0</v>
      </c>
      <c r="M4" s="333">
        <v>0</v>
      </c>
      <c r="N4" s="333">
        <v>0</v>
      </c>
      <c r="O4" s="343">
        <f t="shared" ref="O4:O40" si="0">IF(M4=0,0,M4-K4)-N4</f>
        <v>0</v>
      </c>
      <c r="P4" s="333">
        <f t="shared" ref="P4:P34" si="1">IF(M4=0,K4,0)</f>
        <v>1450000</v>
      </c>
      <c r="Q4" s="403"/>
      <c r="R4" s="347">
        <v>41179</v>
      </c>
      <c r="S4" s="347"/>
      <c r="T4" s="344"/>
    </row>
    <row r="5" spans="2:20" x14ac:dyDescent="0.25">
      <c r="B5" s="243"/>
      <c r="C5" s="244"/>
      <c r="D5" s="269"/>
      <c r="E5" s="254"/>
      <c r="F5" s="280"/>
      <c r="G5" s="269"/>
      <c r="I5" s="334" t="s">
        <v>1006</v>
      </c>
      <c r="J5" s="337" t="s">
        <v>1213</v>
      </c>
      <c r="K5" s="335">
        <v>1150000</v>
      </c>
      <c r="L5" s="335">
        <v>0</v>
      </c>
      <c r="M5" s="335">
        <v>889995</v>
      </c>
      <c r="N5" s="335">
        <f>M5-827695</f>
        <v>62300</v>
      </c>
      <c r="O5" s="343">
        <f t="shared" si="0"/>
        <v>-322305</v>
      </c>
      <c r="P5" s="335">
        <f t="shared" si="1"/>
        <v>0</v>
      </c>
      <c r="Q5" s="403">
        <f>O5/K5</f>
        <v>-0.28026521739130433</v>
      </c>
      <c r="R5" s="348">
        <v>41114</v>
      </c>
      <c r="S5" s="348">
        <v>41300</v>
      </c>
      <c r="T5" s="350">
        <f>O5/((S5-R5)/7)</f>
        <v>-12129.758064516129</v>
      </c>
    </row>
    <row r="6" spans="2:20" x14ac:dyDescent="0.25">
      <c r="B6" s="226" t="s">
        <v>951</v>
      </c>
      <c r="C6" s="242">
        <f>SUM(C7:C9)</f>
        <v>2751767</v>
      </c>
      <c r="D6" s="271">
        <f>C6/$C$34</f>
        <v>7.0458487257750599E-2</v>
      </c>
      <c r="E6" s="255" t="s">
        <v>1329</v>
      </c>
      <c r="F6" s="281">
        <f>F7+F8+F9</f>
        <v>16814612</v>
      </c>
      <c r="G6" s="271">
        <f>F6/$F$34</f>
        <v>0.43053504360871409</v>
      </c>
      <c r="I6" s="187" t="s">
        <v>1006</v>
      </c>
      <c r="J6" s="336" t="s">
        <v>1143</v>
      </c>
      <c r="K6" s="333">
        <v>628111</v>
      </c>
      <c r="L6" s="333">
        <v>0</v>
      </c>
      <c r="M6" s="333">
        <v>0</v>
      </c>
      <c r="N6" s="333">
        <v>0</v>
      </c>
      <c r="O6" s="343">
        <f t="shared" si="0"/>
        <v>0</v>
      </c>
      <c r="P6" s="333">
        <f t="shared" si="1"/>
        <v>628111</v>
      </c>
      <c r="Q6" s="403"/>
      <c r="R6" s="347">
        <v>41078</v>
      </c>
      <c r="S6" s="347"/>
      <c r="T6" s="344"/>
    </row>
    <row r="7" spans="2:20" x14ac:dyDescent="0.25">
      <c r="B7" s="249" t="s">
        <v>30</v>
      </c>
      <c r="C7" s="250">
        <f>'A-P_T37'!C6+EconomiaT38!C16+EconomiaT39!C16</f>
        <v>1943095</v>
      </c>
      <c r="D7" s="272">
        <f>C7/$C$34</f>
        <v>4.9752589626265192E-2</v>
      </c>
      <c r="E7" s="256" t="s">
        <v>1029</v>
      </c>
      <c r="F7" s="282">
        <v>300000</v>
      </c>
      <c r="G7" s="272">
        <f>F7/$F$34</f>
        <v>7.6814447507093367E-3</v>
      </c>
      <c r="I7" s="334" t="s">
        <v>1006</v>
      </c>
      <c r="J7" s="337" t="s">
        <v>1221</v>
      </c>
      <c r="K7" s="335">
        <v>555000</v>
      </c>
      <c r="L7" s="335">
        <v>0</v>
      </c>
      <c r="M7" s="335">
        <v>510555</v>
      </c>
      <c r="N7" s="335">
        <f>M7-474818</f>
        <v>35737</v>
      </c>
      <c r="O7" s="343">
        <f t="shared" si="0"/>
        <v>-80182</v>
      </c>
      <c r="P7" s="335">
        <f t="shared" si="1"/>
        <v>0</v>
      </c>
      <c r="Q7" s="403">
        <f>O7/K7</f>
        <v>-0.14447207207207208</v>
      </c>
      <c r="R7" s="348">
        <v>41144</v>
      </c>
      <c r="S7" s="348">
        <v>41307</v>
      </c>
      <c r="T7" s="350">
        <f>O7/((S7-R7)/7)</f>
        <v>-3443.3987730061353</v>
      </c>
    </row>
    <row r="8" spans="2:20" x14ac:dyDescent="0.25">
      <c r="B8" s="249" t="s">
        <v>11</v>
      </c>
      <c r="C8" s="250">
        <f>'A-P_T37'!C7+EconomiaT38!C20+'A-P_T38'!C8+47000</f>
        <v>808672</v>
      </c>
      <c r="D8" s="272">
        <f>C8/$C$34</f>
        <v>2.0705897631485403E-2</v>
      </c>
      <c r="E8" s="256" t="s">
        <v>1144</v>
      </c>
      <c r="F8" s="282">
        <f>'A-P_T38'!F7+'A-P_T38'!F8</f>
        <v>11496847</v>
      </c>
      <c r="G8" s="272">
        <f>F8/$F$34</f>
        <v>0.29437465012619463</v>
      </c>
      <c r="I8" s="338" t="s">
        <v>1006</v>
      </c>
      <c r="J8" s="336" t="s">
        <v>1039</v>
      </c>
      <c r="K8" s="333">
        <v>500000</v>
      </c>
      <c r="L8" s="333">
        <v>0</v>
      </c>
      <c r="M8" s="333">
        <v>0</v>
      </c>
      <c r="N8" s="333">
        <v>0</v>
      </c>
      <c r="O8" s="343">
        <f t="shared" si="0"/>
        <v>0</v>
      </c>
      <c r="P8" s="333">
        <f t="shared" si="1"/>
        <v>500000</v>
      </c>
      <c r="Q8" s="403"/>
      <c r="R8" s="347">
        <v>41066</v>
      </c>
      <c r="S8" s="347"/>
      <c r="T8" s="344"/>
    </row>
    <row r="9" spans="2:20" x14ac:dyDescent="0.25">
      <c r="B9" s="245" t="s">
        <v>1026</v>
      </c>
      <c r="C9" s="248">
        <v>0</v>
      </c>
      <c r="D9" s="272">
        <f>C9/$C$34</f>
        <v>0</v>
      </c>
      <c r="E9" s="256" t="s">
        <v>1292</v>
      </c>
      <c r="F9" s="282">
        <f>'A-P_T38'!F10+K11-91994-2920</f>
        <v>5017765</v>
      </c>
      <c r="G9" s="272">
        <f>F9/$F$34</f>
        <v>0.12847894873181012</v>
      </c>
      <c r="I9" s="334" t="s">
        <v>1006</v>
      </c>
      <c r="J9" s="337" t="s">
        <v>1217</v>
      </c>
      <c r="K9" s="335">
        <v>275000</v>
      </c>
      <c r="L9" s="335">
        <v>0</v>
      </c>
      <c r="M9" s="335">
        <v>218280</v>
      </c>
      <c r="N9" s="335">
        <f>M9-203000</f>
        <v>15280</v>
      </c>
      <c r="O9" s="343">
        <f t="shared" si="0"/>
        <v>-72000</v>
      </c>
      <c r="P9" s="335">
        <f t="shared" si="1"/>
        <v>0</v>
      </c>
      <c r="Q9" s="403">
        <f>O9/K9</f>
        <v>-0.26181818181818184</v>
      </c>
      <c r="R9" s="348">
        <v>41115</v>
      </c>
      <c r="S9" s="348">
        <v>41300</v>
      </c>
      <c r="T9" s="350">
        <f>O9/((S9-R9)/7)</f>
        <v>-2724.3243243243246</v>
      </c>
    </row>
    <row r="10" spans="2:20" x14ac:dyDescent="0.25">
      <c r="B10" s="228"/>
      <c r="C10" s="227"/>
      <c r="D10" s="271"/>
      <c r="E10" s="257"/>
      <c r="F10" s="251"/>
      <c r="G10" s="271"/>
      <c r="I10" s="187" t="s">
        <v>1004</v>
      </c>
      <c r="J10" s="336" t="s">
        <v>1015</v>
      </c>
      <c r="K10" s="333">
        <v>101001</v>
      </c>
      <c r="L10" s="333">
        <v>0</v>
      </c>
      <c r="M10" s="333">
        <v>0</v>
      </c>
      <c r="N10" s="333">
        <v>0</v>
      </c>
      <c r="O10" s="343">
        <f t="shared" si="0"/>
        <v>0</v>
      </c>
      <c r="P10" s="333">
        <f t="shared" si="1"/>
        <v>101001</v>
      </c>
      <c r="Q10" s="403"/>
      <c r="R10" s="347">
        <v>40956</v>
      </c>
      <c r="S10" s="347"/>
      <c r="T10" s="344"/>
    </row>
    <row r="11" spans="2:20" x14ac:dyDescent="0.25">
      <c r="B11" s="226" t="s">
        <v>481</v>
      </c>
      <c r="C11" s="242">
        <f>SUM(C12:C15)</f>
        <v>18374702</v>
      </c>
      <c r="D11" s="271">
        <f>C11/$C$34</f>
        <v>0.47048086074582784</v>
      </c>
      <c r="E11" s="255" t="s">
        <v>950</v>
      </c>
      <c r="F11" s="281">
        <f>SUM(F12:F17)+C9</f>
        <v>4813816</v>
      </c>
      <c r="G11" s="271">
        <f t="shared" ref="G11:G17" si="2">F11/$F$34</f>
        <v>0.12325687214693538</v>
      </c>
      <c r="I11" s="34" t="s">
        <v>1198</v>
      </c>
      <c r="J11" s="345" t="s">
        <v>1199</v>
      </c>
      <c r="K11" s="278">
        <v>47000</v>
      </c>
      <c r="L11" s="278">
        <v>0</v>
      </c>
      <c r="M11" s="278">
        <v>0</v>
      </c>
      <c r="N11" s="278">
        <v>0</v>
      </c>
      <c r="O11" s="278">
        <f t="shared" si="0"/>
        <v>0</v>
      </c>
      <c r="P11" s="278">
        <f t="shared" si="1"/>
        <v>47000</v>
      </c>
      <c r="Q11" s="404"/>
      <c r="R11" s="352"/>
      <c r="S11" s="352"/>
      <c r="T11" s="351"/>
    </row>
    <row r="12" spans="2:20" x14ac:dyDescent="0.25">
      <c r="B12" s="231" t="s">
        <v>1381</v>
      </c>
      <c r="C12" s="232">
        <f>SUMIF(I4:I89,"S",$P$4:$P$89)</f>
        <v>71251</v>
      </c>
      <c r="D12" s="272">
        <f>C12/$C$34</f>
        <v>1.8243687331093031E-3</v>
      </c>
      <c r="E12" s="339" t="s">
        <v>1194</v>
      </c>
      <c r="F12" s="340">
        <f>SUMIF(I4:I84,"J",$O$4:$O$84)</f>
        <v>-153555</v>
      </c>
      <c r="G12" s="272">
        <f t="shared" si="2"/>
        <v>-3.9317474956505737E-3</v>
      </c>
      <c r="I12" s="11" t="s">
        <v>1003</v>
      </c>
      <c r="J12" s="17" t="s">
        <v>1017</v>
      </c>
      <c r="K12" s="15">
        <v>0</v>
      </c>
      <c r="L12" s="15">
        <v>0</v>
      </c>
      <c r="M12" s="15">
        <v>0</v>
      </c>
      <c r="N12" s="15">
        <v>0</v>
      </c>
      <c r="O12" s="278">
        <f t="shared" si="0"/>
        <v>0</v>
      </c>
      <c r="P12" s="15">
        <f t="shared" si="1"/>
        <v>0</v>
      </c>
      <c r="Q12" s="404"/>
      <c r="R12" s="349"/>
      <c r="S12" s="349"/>
      <c r="T12" s="351"/>
    </row>
    <row r="13" spans="2:20" x14ac:dyDescent="0.25">
      <c r="B13" s="231" t="s">
        <v>481</v>
      </c>
      <c r="C13" s="232">
        <f>SUMIF(I4:I84,"J",$P$4:$P$84)</f>
        <v>8321611</v>
      </c>
      <c r="D13" s="272">
        <f>C13/$C$34</f>
        <v>0.21307331711131691</v>
      </c>
      <c r="E13" s="339" t="s">
        <v>1382</v>
      </c>
      <c r="F13" s="340">
        <f>SUMIF(I4:I84,"S",$O$4:$O$84)</f>
        <v>91550</v>
      </c>
      <c r="G13" s="272">
        <f t="shared" si="2"/>
        <v>2.3441208897581325E-3</v>
      </c>
      <c r="I13" s="11" t="s">
        <v>1003</v>
      </c>
      <c r="J13" s="17" t="s">
        <v>1247</v>
      </c>
      <c r="K13" s="15">
        <v>0</v>
      </c>
      <c r="L13" s="15">
        <v>0</v>
      </c>
      <c r="M13" s="15">
        <v>0</v>
      </c>
      <c r="N13" s="15">
        <v>0</v>
      </c>
      <c r="O13" s="278">
        <f t="shared" si="0"/>
        <v>0</v>
      </c>
      <c r="P13" s="15">
        <f t="shared" si="1"/>
        <v>0</v>
      </c>
      <c r="Q13" s="404"/>
      <c r="R13" s="349"/>
      <c r="S13" s="349"/>
      <c r="T13" s="351"/>
    </row>
    <row r="14" spans="2:20" x14ac:dyDescent="0.25">
      <c r="B14" s="231" t="s">
        <v>819</v>
      </c>
      <c r="C14" s="232">
        <f>SUMIF(I4:I84,"E",$P$4:$P$84)</f>
        <v>7769000</v>
      </c>
      <c r="D14" s="272">
        <f>C14/$C$34</f>
        <v>0.19892381422753613</v>
      </c>
      <c r="E14" s="339" t="s">
        <v>1195</v>
      </c>
      <c r="F14" s="340">
        <f>SUMIF(I4:I84,"C",$O$4:$O$84)</f>
        <v>1258850</v>
      </c>
      <c r="G14" s="272">
        <f t="shared" si="2"/>
        <v>3.223262241476816E-2</v>
      </c>
      <c r="I14" s="187" t="s">
        <v>1006</v>
      </c>
      <c r="J14" s="336" t="s">
        <v>1249</v>
      </c>
      <c r="K14" s="333">
        <v>1244000</v>
      </c>
      <c r="L14" s="333">
        <v>0</v>
      </c>
      <c r="M14" s="333">
        <v>0</v>
      </c>
      <c r="N14" s="333">
        <v>0</v>
      </c>
      <c r="O14" s="343">
        <f t="shared" si="0"/>
        <v>0</v>
      </c>
      <c r="P14" s="333">
        <f t="shared" si="1"/>
        <v>1244000</v>
      </c>
      <c r="Q14" s="403"/>
      <c r="R14" s="347">
        <v>41201</v>
      </c>
      <c r="S14" s="347"/>
      <c r="T14" s="344"/>
    </row>
    <row r="15" spans="2:20" x14ac:dyDescent="0.25">
      <c r="B15" s="231" t="s">
        <v>997</v>
      </c>
      <c r="C15" s="232">
        <f>SUMIF(I4:I84,"M",$P$4:$P$84)</f>
        <v>2212840</v>
      </c>
      <c r="D15" s="272">
        <f>C15/$C$34</f>
        <v>5.6659360673865497E-2</v>
      </c>
      <c r="E15" s="339" t="s">
        <v>1196</v>
      </c>
      <c r="F15" s="340">
        <f>SUMIF(I4:I84,"E",$O$4:$O$84)</f>
        <v>2200446</v>
      </c>
      <c r="G15" s="272">
        <f t="shared" si="2"/>
        <v>5.6342014586397857E-2</v>
      </c>
      <c r="I15" s="334" t="s">
        <v>1006</v>
      </c>
      <c r="J15" s="337" t="s">
        <v>1251</v>
      </c>
      <c r="K15" s="335">
        <v>320001</v>
      </c>
      <c r="L15" s="335">
        <v>0</v>
      </c>
      <c r="M15" s="335">
        <v>329995</v>
      </c>
      <c r="N15" s="335">
        <f>M15-306895</f>
        <v>23100</v>
      </c>
      <c r="O15" s="335">
        <f t="shared" si="0"/>
        <v>-13106</v>
      </c>
      <c r="P15" s="335">
        <f t="shared" si="1"/>
        <v>0</v>
      </c>
      <c r="Q15" s="403">
        <f>O15/K15</f>
        <v>-4.0956122012118713E-2</v>
      </c>
      <c r="R15" s="348">
        <v>41202</v>
      </c>
      <c r="S15" s="348">
        <v>41321</v>
      </c>
      <c r="T15" s="350">
        <f t="shared" ref="T15:T20" si="3">O15/((S15-R15)/7)</f>
        <v>-770.94117647058829</v>
      </c>
    </row>
    <row r="16" spans="2:20" x14ac:dyDescent="0.25">
      <c r="B16" s="235"/>
      <c r="C16" s="236"/>
      <c r="D16" s="271"/>
      <c r="E16" s="339" t="s">
        <v>1197</v>
      </c>
      <c r="F16" s="340">
        <f>SUMIF(I4:I84,"M",$O$4:$O$84)</f>
        <v>170788</v>
      </c>
      <c r="G16" s="272">
        <f t="shared" si="2"/>
        <v>4.3729952869471537E-3</v>
      </c>
      <c r="I16" s="334" t="s">
        <v>1004</v>
      </c>
      <c r="J16" s="337" t="s">
        <v>1253</v>
      </c>
      <c r="K16" s="335">
        <v>1030000</v>
      </c>
      <c r="L16" s="335">
        <v>0</v>
      </c>
      <c r="M16" s="335">
        <v>1710000</v>
      </c>
      <c r="N16" s="335">
        <f>M16-1585854</f>
        <v>124146</v>
      </c>
      <c r="O16" s="343">
        <f t="shared" si="0"/>
        <v>555854</v>
      </c>
      <c r="P16" s="335">
        <f t="shared" si="1"/>
        <v>0</v>
      </c>
      <c r="Q16" s="403">
        <f>O16/K16</f>
        <v>0.53966407766990288</v>
      </c>
      <c r="R16" s="348">
        <v>41212</v>
      </c>
      <c r="S16" s="348">
        <v>41314</v>
      </c>
      <c r="T16" s="350">
        <f t="shared" si="3"/>
        <v>38146.843137254902</v>
      </c>
    </row>
    <row r="17" spans="2:20" x14ac:dyDescent="0.25">
      <c r="B17" s="226" t="s">
        <v>48</v>
      </c>
      <c r="C17" s="260">
        <f>C18+C19</f>
        <v>13124160</v>
      </c>
      <c r="D17" s="271">
        <f>C17/$C$34</f>
        <v>0.33604169979823151</v>
      </c>
      <c r="E17" s="341" t="s">
        <v>1193</v>
      </c>
      <c r="F17" s="342">
        <f>C22-F23-EconomiaT39!C16</f>
        <v>1245737</v>
      </c>
      <c r="G17" s="272">
        <f t="shared" si="2"/>
        <v>3.1896866464714659E-2</v>
      </c>
      <c r="I17" s="408" t="s">
        <v>1006</v>
      </c>
      <c r="J17" s="409" t="s">
        <v>1255</v>
      </c>
      <c r="K17" s="410">
        <v>1020000</v>
      </c>
      <c r="L17" s="410">
        <v>0</v>
      </c>
      <c r="M17" s="410">
        <v>1050000</v>
      </c>
      <c r="N17" s="410">
        <f>M17-976500</f>
        <v>73500</v>
      </c>
      <c r="O17" s="410">
        <f t="shared" si="0"/>
        <v>-43500</v>
      </c>
      <c r="P17" s="410">
        <f t="shared" si="1"/>
        <v>0</v>
      </c>
      <c r="Q17" s="411"/>
      <c r="R17" s="412">
        <v>41218</v>
      </c>
      <c r="S17" s="412">
        <v>41390</v>
      </c>
      <c r="T17" s="413">
        <f t="shared" si="3"/>
        <v>-1770.3488372093022</v>
      </c>
    </row>
    <row r="18" spans="2:20" x14ac:dyDescent="0.25">
      <c r="B18" s="231" t="s">
        <v>48</v>
      </c>
      <c r="C18" s="232">
        <f>SUM(M4:M90)</f>
        <v>14247720</v>
      </c>
      <c r="D18" s="272">
        <f>C18/$C$34</f>
        <v>0.36481024667858808</v>
      </c>
      <c r="E18" s="50"/>
      <c r="F18" s="251"/>
      <c r="G18" s="270"/>
      <c r="I18" s="334" t="s">
        <v>1006</v>
      </c>
      <c r="J18" s="337" t="s">
        <v>1256</v>
      </c>
      <c r="K18" s="335">
        <v>569999</v>
      </c>
      <c r="L18" s="335">
        <v>0</v>
      </c>
      <c r="M18" s="335">
        <v>695000</v>
      </c>
      <c r="N18" s="335">
        <f>M18-644543</f>
        <v>50457</v>
      </c>
      <c r="O18" s="335">
        <f t="shared" si="0"/>
        <v>74544</v>
      </c>
      <c r="P18" s="335">
        <f t="shared" si="1"/>
        <v>0</v>
      </c>
      <c r="Q18" s="403">
        <f>O18/K18</f>
        <v>0.13077917680557336</v>
      </c>
      <c r="R18" s="348">
        <v>41219</v>
      </c>
      <c r="S18" s="348">
        <v>41321</v>
      </c>
      <c r="T18" s="350">
        <f t="shared" si="3"/>
        <v>5115.7647058823532</v>
      </c>
    </row>
    <row r="19" spans="2:20" x14ac:dyDescent="0.25">
      <c r="B19" s="245" t="s">
        <v>5</v>
      </c>
      <c r="C19" s="248">
        <f>SUM(N4:N95)*-1</f>
        <v>-1123560</v>
      </c>
      <c r="D19" s="272">
        <f>C19/$C$34</f>
        <v>-2.8768546880356606E-2</v>
      </c>
      <c r="E19" s="255" t="s">
        <v>1034</v>
      </c>
      <c r="F19" s="285">
        <f>F20+F21</f>
        <v>14019630</v>
      </c>
      <c r="G19" s="271">
        <f>F19/$F$34</f>
        <v>0.35897004423462381</v>
      </c>
      <c r="I19" s="334" t="s">
        <v>1004</v>
      </c>
      <c r="J19" s="337" t="s">
        <v>1260</v>
      </c>
      <c r="K19" s="335">
        <v>521000</v>
      </c>
      <c r="L19" s="335">
        <v>0</v>
      </c>
      <c r="M19" s="335">
        <v>1004000</v>
      </c>
      <c r="N19" s="335">
        <f>M19-916953</f>
        <v>87047</v>
      </c>
      <c r="O19" s="343">
        <f t="shared" si="0"/>
        <v>395953</v>
      </c>
      <c r="P19" s="335">
        <f t="shared" si="1"/>
        <v>0</v>
      </c>
      <c r="Q19" s="403">
        <f>O19/K19</f>
        <v>0.75998656429942424</v>
      </c>
      <c r="R19" s="348">
        <v>41239</v>
      </c>
      <c r="S19" s="348">
        <v>41309</v>
      </c>
      <c r="T19" s="350">
        <f t="shared" si="3"/>
        <v>39595.300000000003</v>
      </c>
    </row>
    <row r="20" spans="2:20" x14ac:dyDescent="0.25">
      <c r="B20" s="235"/>
      <c r="C20" s="236"/>
      <c r="D20" s="272"/>
      <c r="E20" s="277" t="s">
        <v>50</v>
      </c>
      <c r="F20" s="286">
        <f>EconomiaT39!C19+EconomiaT39!C20</f>
        <v>14123072</v>
      </c>
      <c r="G20" s="272">
        <f>F20/$F$34</f>
        <v>0.36161865759430006</v>
      </c>
      <c r="I20" s="334" t="s">
        <v>1006</v>
      </c>
      <c r="J20" s="337" t="s">
        <v>1261</v>
      </c>
      <c r="K20" s="335">
        <v>393001</v>
      </c>
      <c r="L20" s="335">
        <v>0</v>
      </c>
      <c r="M20" s="335">
        <v>345000</v>
      </c>
      <c r="N20" s="335">
        <f>M20-320091</f>
        <v>24909</v>
      </c>
      <c r="O20" s="335">
        <f t="shared" si="0"/>
        <v>-72910</v>
      </c>
      <c r="P20" s="335">
        <f t="shared" si="1"/>
        <v>0</v>
      </c>
      <c r="Q20" s="405">
        <f>O20/K20</f>
        <v>-0.18552115643471645</v>
      </c>
      <c r="R20" s="348">
        <v>41239</v>
      </c>
      <c r="S20" s="348">
        <v>41342</v>
      </c>
      <c r="T20" s="353">
        <f t="shared" si="3"/>
        <v>-4955.0485436893205</v>
      </c>
    </row>
    <row r="21" spans="2:20" x14ac:dyDescent="0.25">
      <c r="B21" s="235"/>
      <c r="C21" s="236"/>
      <c r="D21" s="271"/>
      <c r="E21" s="252" t="s">
        <v>1140</v>
      </c>
      <c r="F21" s="284">
        <f>SUM(L4:L94)*-1</f>
        <v>-103442</v>
      </c>
      <c r="G21" s="272">
        <f>F21/$F$34</f>
        <v>-2.6486133596762508E-3</v>
      </c>
      <c r="I21" s="34" t="s">
        <v>1198</v>
      </c>
      <c r="J21" s="345" t="s">
        <v>1341</v>
      </c>
      <c r="K21" s="278">
        <v>458000</v>
      </c>
      <c r="L21" s="278">
        <v>0</v>
      </c>
      <c r="M21" s="278">
        <v>0</v>
      </c>
      <c r="N21" s="278">
        <v>0</v>
      </c>
      <c r="O21" s="278">
        <f t="shared" si="0"/>
        <v>0</v>
      </c>
      <c r="P21" s="278">
        <v>0</v>
      </c>
      <c r="Q21" s="404"/>
      <c r="R21" s="352"/>
      <c r="S21" s="352"/>
      <c r="T21" s="351"/>
    </row>
    <row r="22" spans="2:20" x14ac:dyDescent="0.25">
      <c r="B22" s="226" t="s">
        <v>1328</v>
      </c>
      <c r="C22" s="242">
        <f>SUM(C23:C27)</f>
        <v>4652832</v>
      </c>
      <c r="D22" s="271">
        <f t="shared" ref="D22:D27" si="4">C22/$C$34</f>
        <v>0.11913490647444142</v>
      </c>
      <c r="E22" s="255"/>
      <c r="F22" s="281"/>
      <c r="G22" s="271"/>
      <c r="I22" s="334" t="s">
        <v>1004</v>
      </c>
      <c r="J22" s="337" t="s">
        <v>1263</v>
      </c>
      <c r="K22" s="335">
        <v>500000</v>
      </c>
      <c r="L22" s="335">
        <v>0</v>
      </c>
      <c r="M22" s="335">
        <v>799995</v>
      </c>
      <c r="N22" s="335">
        <f>M22-726475</f>
        <v>73520</v>
      </c>
      <c r="O22" s="343">
        <f t="shared" si="0"/>
        <v>226475</v>
      </c>
      <c r="P22" s="335">
        <f t="shared" si="1"/>
        <v>0</v>
      </c>
      <c r="Q22" s="403">
        <f>O22/K22</f>
        <v>0.45295000000000002</v>
      </c>
      <c r="R22" s="348">
        <v>41247</v>
      </c>
      <c r="S22" s="348">
        <v>41307</v>
      </c>
      <c r="T22" s="350">
        <f>O22/((S22-R22)/7)</f>
        <v>26422.083333333336</v>
      </c>
    </row>
    <row r="23" spans="2:20" x14ac:dyDescent="0.25">
      <c r="B23" s="233" t="s">
        <v>42</v>
      </c>
      <c r="C23" s="234">
        <f>EconomiaT39!C11</f>
        <v>57812</v>
      </c>
      <c r="D23" s="272">
        <f t="shared" si="4"/>
        <v>1.4802656130933605E-3</v>
      </c>
      <c r="E23" s="255" t="s">
        <v>1330</v>
      </c>
      <c r="F23" s="281">
        <f>SUM(F24:F29)</f>
        <v>3044925</v>
      </c>
      <c r="G23" s="271">
        <f t="shared" ref="G23:G29" si="5">F23/$F$34</f>
        <v>7.7964743858512084E-2</v>
      </c>
      <c r="I23" s="334" t="s">
        <v>1004</v>
      </c>
      <c r="J23" s="337" t="s">
        <v>1264</v>
      </c>
      <c r="K23" s="335">
        <v>250000</v>
      </c>
      <c r="L23" s="335">
        <v>0</v>
      </c>
      <c r="M23" s="335">
        <v>397000</v>
      </c>
      <c r="N23" s="335">
        <f>M23-358213</f>
        <v>38787</v>
      </c>
      <c r="O23" s="343">
        <f t="shared" si="0"/>
        <v>108213</v>
      </c>
      <c r="P23" s="335">
        <f t="shared" si="1"/>
        <v>0</v>
      </c>
      <c r="Q23" s="403">
        <f>O23/K23</f>
        <v>0.43285200000000001</v>
      </c>
      <c r="R23" s="348">
        <v>41253</v>
      </c>
      <c r="S23" s="348">
        <v>41303</v>
      </c>
      <c r="T23" s="350">
        <f>O23/((S23-R23)/7)</f>
        <v>15149.82</v>
      </c>
    </row>
    <row r="24" spans="2:20" x14ac:dyDescent="0.25">
      <c r="B24" s="233" t="s">
        <v>51</v>
      </c>
      <c r="C24" s="234">
        <f>EconomiaT39!C12</f>
        <v>100000</v>
      </c>
      <c r="D24" s="272">
        <f t="shared" si="4"/>
        <v>2.5604815835697787E-3</v>
      </c>
      <c r="E24" s="277" t="s">
        <v>882</v>
      </c>
      <c r="F24" s="287">
        <f>EconomiaT39!C14</f>
        <v>1561432</v>
      </c>
      <c r="G24" s="272">
        <f t="shared" si="5"/>
        <v>3.9980178799965273E-2</v>
      </c>
      <c r="I24" s="334" t="s">
        <v>1006</v>
      </c>
      <c r="J24" s="337" t="s">
        <v>1265</v>
      </c>
      <c r="K24" s="335">
        <v>1000000</v>
      </c>
      <c r="L24" s="335">
        <v>0</v>
      </c>
      <c r="M24" s="335">
        <v>1500000</v>
      </c>
      <c r="N24" s="335">
        <f>M24-1367700</f>
        <v>132300</v>
      </c>
      <c r="O24" s="335">
        <f t="shared" si="0"/>
        <v>367700</v>
      </c>
      <c r="P24" s="335">
        <f t="shared" si="1"/>
        <v>0</v>
      </c>
      <c r="Q24" s="403">
        <f>O24/K24</f>
        <v>0.36770000000000003</v>
      </c>
      <c r="R24" s="348">
        <v>41255</v>
      </c>
      <c r="S24" s="348">
        <v>41322</v>
      </c>
      <c r="T24" s="350">
        <f>O24/((S24-R24)/7)</f>
        <v>38416.417910447759</v>
      </c>
    </row>
    <row r="25" spans="2:20" x14ac:dyDescent="0.25">
      <c r="B25" s="233" t="s">
        <v>0</v>
      </c>
      <c r="C25" s="234">
        <f>EconomiaT39!C6</f>
        <v>2856254</v>
      </c>
      <c r="D25" s="272">
        <f t="shared" si="4"/>
        <v>7.3133857649975154E-2</v>
      </c>
      <c r="E25" s="277" t="s">
        <v>29</v>
      </c>
      <c r="F25" s="287">
        <f>EconomiaT39!C15</f>
        <v>387534</v>
      </c>
      <c r="G25" s="272">
        <f t="shared" si="5"/>
        <v>9.9227367000713062E-3</v>
      </c>
      <c r="I25" s="334" t="s">
        <v>1003</v>
      </c>
      <c r="J25" s="337" t="s">
        <v>1266</v>
      </c>
      <c r="K25" s="335">
        <v>0</v>
      </c>
      <c r="L25" s="335">
        <v>0</v>
      </c>
      <c r="M25" s="335">
        <v>1000</v>
      </c>
      <c r="N25" s="335">
        <v>50</v>
      </c>
      <c r="O25" s="343">
        <f t="shared" si="0"/>
        <v>950</v>
      </c>
      <c r="P25" s="335">
        <f t="shared" si="1"/>
        <v>0</v>
      </c>
      <c r="Q25" s="403" t="s">
        <v>1327</v>
      </c>
      <c r="R25" s="348"/>
      <c r="S25" s="348"/>
      <c r="T25" s="350">
        <f>O25</f>
        <v>950</v>
      </c>
    </row>
    <row r="26" spans="2:20" x14ac:dyDescent="0.25">
      <c r="B26" s="233" t="s">
        <v>2</v>
      </c>
      <c r="C26" s="234">
        <f>EconomiaT39!C7</f>
        <v>1280279</v>
      </c>
      <c r="D26" s="272">
        <f t="shared" si="4"/>
        <v>3.2781308013311326E-2</v>
      </c>
      <c r="E26" s="277" t="s">
        <v>6</v>
      </c>
      <c r="F26" s="287">
        <f>EconomiaT39!C17</f>
        <v>642600</v>
      </c>
      <c r="G26" s="272">
        <f t="shared" si="5"/>
        <v>1.64536546560194E-2</v>
      </c>
      <c r="I26" s="187" t="s">
        <v>1006</v>
      </c>
      <c r="J26" s="336" t="s">
        <v>1268</v>
      </c>
      <c r="K26" s="333">
        <v>867000</v>
      </c>
      <c r="L26" s="333">
        <v>0</v>
      </c>
      <c r="M26" s="333">
        <v>0</v>
      </c>
      <c r="N26" s="333">
        <v>0</v>
      </c>
      <c r="O26" s="343">
        <f t="shared" si="0"/>
        <v>0</v>
      </c>
      <c r="P26" s="333">
        <f t="shared" si="1"/>
        <v>867000</v>
      </c>
      <c r="Q26" s="403"/>
      <c r="R26" s="347">
        <v>41266</v>
      </c>
      <c r="S26" s="347"/>
      <c r="T26" s="344"/>
    </row>
    <row r="27" spans="2:20" x14ac:dyDescent="0.25">
      <c r="B27" s="233" t="s">
        <v>5</v>
      </c>
      <c r="C27" s="234">
        <f>EconomiaT39!C10</f>
        <v>358487</v>
      </c>
      <c r="D27" s="272">
        <f t="shared" si="4"/>
        <v>9.1789936144917924E-3</v>
      </c>
      <c r="E27" s="277" t="s">
        <v>8</v>
      </c>
      <c r="F27" s="287">
        <f>EconomiaT39!C18</f>
        <v>320000</v>
      </c>
      <c r="G27" s="272">
        <f t="shared" si="5"/>
        <v>8.193541067423293E-3</v>
      </c>
      <c r="I27" s="334" t="s">
        <v>1003</v>
      </c>
      <c r="J27" s="337" t="s">
        <v>1269</v>
      </c>
      <c r="K27" s="335">
        <v>0</v>
      </c>
      <c r="L27" s="335">
        <v>0</v>
      </c>
      <c r="M27" s="335">
        <v>249000</v>
      </c>
      <c r="N27" s="335">
        <f>M27-236550</f>
        <v>12450</v>
      </c>
      <c r="O27" s="335">
        <f t="shared" si="0"/>
        <v>236550</v>
      </c>
      <c r="P27" s="335">
        <f t="shared" si="1"/>
        <v>0</v>
      </c>
      <c r="Q27" s="403" t="s">
        <v>1327</v>
      </c>
      <c r="R27" s="348">
        <v>41315</v>
      </c>
      <c r="S27" s="348">
        <v>41358</v>
      </c>
      <c r="T27" s="350">
        <f>O27/((S27-R27)/7)</f>
        <v>38508.139534883718</v>
      </c>
    </row>
    <row r="28" spans="2:20" x14ac:dyDescent="0.25">
      <c r="B28" s="226"/>
      <c r="C28" s="242"/>
      <c r="D28" s="271"/>
      <c r="E28" s="277" t="s">
        <v>818</v>
      </c>
      <c r="F28" s="287">
        <f>EconomiaT39!C21</f>
        <v>133359</v>
      </c>
      <c r="G28" s="272">
        <f t="shared" si="5"/>
        <v>3.4146326350328214E-3</v>
      </c>
      <c r="I28" s="187" t="s">
        <v>1004</v>
      </c>
      <c r="J28" s="336" t="s">
        <v>1291</v>
      </c>
      <c r="K28" s="333">
        <v>1300000</v>
      </c>
      <c r="L28" s="333">
        <v>0</v>
      </c>
      <c r="M28" s="333">
        <v>0</v>
      </c>
      <c r="N28" s="333">
        <v>0</v>
      </c>
      <c r="O28" s="343">
        <f t="shared" si="0"/>
        <v>0</v>
      </c>
      <c r="P28" s="333">
        <f t="shared" si="1"/>
        <v>1300000</v>
      </c>
      <c r="Q28" s="403"/>
      <c r="R28" s="347">
        <v>41282</v>
      </c>
      <c r="S28" s="347"/>
      <c r="T28" s="344"/>
    </row>
    <row r="29" spans="2:20" x14ac:dyDescent="0.25">
      <c r="B29" s="226" t="s">
        <v>1200</v>
      </c>
      <c r="C29" s="242">
        <f>EconomiaT39!C5-EconomiaT39!C16</f>
        <v>151692</v>
      </c>
      <c r="D29" s="271">
        <f>C29/$C$34</f>
        <v>3.8840457237486691E-3</v>
      </c>
      <c r="E29" s="277" t="s">
        <v>10</v>
      </c>
      <c r="F29" s="287">
        <f>EconomiaT38!C22</f>
        <v>0</v>
      </c>
      <c r="G29" s="272">
        <f t="shared" si="5"/>
        <v>0</v>
      </c>
      <c r="I29" s="334" t="s">
        <v>1005</v>
      </c>
      <c r="J29" s="337" t="s">
        <v>1302</v>
      </c>
      <c r="K29" s="335">
        <v>48000</v>
      </c>
      <c r="L29" s="335">
        <v>0</v>
      </c>
      <c r="M29" s="335">
        <v>80000</v>
      </c>
      <c r="N29" s="335">
        <f>M29-69248</f>
        <v>10752</v>
      </c>
      <c r="O29" s="343">
        <f>IF(M29=0,0,M29-K29)-N29</f>
        <v>21248</v>
      </c>
      <c r="P29" s="335">
        <f t="shared" si="1"/>
        <v>0</v>
      </c>
      <c r="Q29" s="403">
        <f t="shared" ref="Q29:Q34" si="6">O29/K29</f>
        <v>0.44266666666666665</v>
      </c>
      <c r="R29" s="348">
        <v>41289</v>
      </c>
      <c r="S29" s="348">
        <v>41300</v>
      </c>
      <c r="T29" s="350">
        <f t="shared" ref="T29:T36" si="7">O29/((S29-R29)/7)</f>
        <v>13521.454545454546</v>
      </c>
    </row>
    <row r="30" spans="2:20" x14ac:dyDescent="0.25">
      <c r="B30" s="226"/>
      <c r="C30" s="242"/>
      <c r="D30" s="271"/>
      <c r="E30" s="50"/>
      <c r="F30" s="227"/>
      <c r="G30" s="305"/>
      <c r="I30" s="334" t="s">
        <v>1005</v>
      </c>
      <c r="J30" s="337" t="s">
        <v>1303</v>
      </c>
      <c r="K30" s="335">
        <v>20000</v>
      </c>
      <c r="L30" s="335">
        <v>0</v>
      </c>
      <c r="M30" s="335">
        <v>37000</v>
      </c>
      <c r="N30" s="335">
        <f>M30-32915</f>
        <v>4085</v>
      </c>
      <c r="O30" s="335">
        <f t="shared" si="0"/>
        <v>12915</v>
      </c>
      <c r="P30" s="335">
        <f t="shared" si="1"/>
        <v>0</v>
      </c>
      <c r="Q30" s="405">
        <f t="shared" si="6"/>
        <v>0.64575000000000005</v>
      </c>
      <c r="R30" s="348">
        <v>41289</v>
      </c>
      <c r="S30" s="348">
        <v>41321</v>
      </c>
      <c r="T30" s="350">
        <f t="shared" si="7"/>
        <v>2825.15625</v>
      </c>
    </row>
    <row r="31" spans="2:20" x14ac:dyDescent="0.25">
      <c r="B31" s="226"/>
      <c r="C31" s="242"/>
      <c r="D31" s="304"/>
      <c r="E31" s="226" t="s">
        <v>30</v>
      </c>
      <c r="F31" s="281">
        <f>F32</f>
        <v>362170</v>
      </c>
      <c r="G31" s="271">
        <f>F31/F34</f>
        <v>9.2732961512146678E-3</v>
      </c>
      <c r="I31" s="334" t="s">
        <v>1005</v>
      </c>
      <c r="J31" s="337" t="s">
        <v>1304</v>
      </c>
      <c r="K31" s="335">
        <v>104040</v>
      </c>
      <c r="L31" s="335">
        <v>0</v>
      </c>
      <c r="M31" s="335">
        <v>182580</v>
      </c>
      <c r="N31" s="335">
        <f>M31-162423</f>
        <v>20157</v>
      </c>
      <c r="O31" s="335">
        <f t="shared" si="0"/>
        <v>58383</v>
      </c>
      <c r="P31" s="335">
        <f t="shared" si="1"/>
        <v>0</v>
      </c>
      <c r="Q31" s="405">
        <f t="shared" si="6"/>
        <v>0.56115916955017298</v>
      </c>
      <c r="R31" s="348">
        <v>41289</v>
      </c>
      <c r="S31" s="348">
        <v>41321</v>
      </c>
      <c r="T31" s="350">
        <f t="shared" si="7"/>
        <v>12771.28125</v>
      </c>
    </row>
    <row r="32" spans="2:20" x14ac:dyDescent="0.25">
      <c r="B32" s="226"/>
      <c r="C32" s="242"/>
      <c r="D32" s="304"/>
      <c r="E32" s="307" t="s">
        <v>1331</v>
      </c>
      <c r="F32" s="287">
        <f>EconomiaT39!C16</f>
        <v>362170</v>
      </c>
      <c r="G32" s="272">
        <f>F32/F34</f>
        <v>9.2732961512146678E-3</v>
      </c>
      <c r="I32" s="334" t="s">
        <v>1005</v>
      </c>
      <c r="J32" s="337" t="s">
        <v>1305</v>
      </c>
      <c r="K32" s="335">
        <v>20000</v>
      </c>
      <c r="L32" s="335">
        <v>0</v>
      </c>
      <c r="M32" s="335">
        <v>67320</v>
      </c>
      <c r="N32" s="335">
        <f>M32-58272</f>
        <v>9048</v>
      </c>
      <c r="O32" s="343">
        <f t="shared" si="0"/>
        <v>38272</v>
      </c>
      <c r="P32" s="335">
        <f t="shared" si="1"/>
        <v>0</v>
      </c>
      <c r="Q32" s="403">
        <f t="shared" si="6"/>
        <v>1.9136</v>
      </c>
      <c r="R32" s="348">
        <v>41289</v>
      </c>
      <c r="S32" s="348">
        <v>41300</v>
      </c>
      <c r="T32" s="350">
        <f t="shared" si="7"/>
        <v>24354.909090909092</v>
      </c>
    </row>
    <row r="33" spans="2:20" x14ac:dyDescent="0.25">
      <c r="B33" s="230"/>
      <c r="C33" s="229"/>
      <c r="D33" s="304"/>
      <c r="E33" s="228"/>
      <c r="F33" s="227"/>
      <c r="G33" s="305"/>
      <c r="I33" s="334" t="s">
        <v>1005</v>
      </c>
      <c r="J33" s="337" t="s">
        <v>1306</v>
      </c>
      <c r="K33" s="335">
        <v>25000</v>
      </c>
      <c r="L33" s="335">
        <v>0</v>
      </c>
      <c r="M33" s="335">
        <v>55000</v>
      </c>
      <c r="N33" s="335">
        <f>M33-49418</f>
        <v>5582</v>
      </c>
      <c r="O33" s="335">
        <f t="shared" si="0"/>
        <v>24418</v>
      </c>
      <c r="P33" s="335">
        <f t="shared" si="1"/>
        <v>0</v>
      </c>
      <c r="Q33" s="405">
        <f t="shared" si="6"/>
        <v>0.97672000000000003</v>
      </c>
      <c r="R33" s="348">
        <v>41291</v>
      </c>
      <c r="S33" s="348">
        <v>41335</v>
      </c>
      <c r="T33" s="353">
        <f t="shared" si="7"/>
        <v>3884.6818181818185</v>
      </c>
    </row>
    <row r="34" spans="2:20" ht="18.75" x14ac:dyDescent="0.3">
      <c r="B34" s="239" t="s">
        <v>291</v>
      </c>
      <c r="C34" s="240">
        <f>C22+C17+C11+C6+C29</f>
        <v>39055153</v>
      </c>
      <c r="D34" s="43">
        <f>C34/$C$34</f>
        <v>1</v>
      </c>
      <c r="E34" s="366" t="s">
        <v>291</v>
      </c>
      <c r="F34" s="367">
        <f>F23+F19+F11+F6+F31</f>
        <v>39055153</v>
      </c>
      <c r="G34" s="43">
        <f>F34/$F$34</f>
        <v>1</v>
      </c>
      <c r="I34" s="334" t="s">
        <v>1005</v>
      </c>
      <c r="J34" s="337" t="s">
        <v>1307</v>
      </c>
      <c r="K34" s="335">
        <v>20000</v>
      </c>
      <c r="L34" s="335">
        <v>0</v>
      </c>
      <c r="M34" s="335">
        <v>40000</v>
      </c>
      <c r="N34" s="335">
        <f>M34-35552</f>
        <v>4448</v>
      </c>
      <c r="O34" s="335">
        <f t="shared" si="0"/>
        <v>15552</v>
      </c>
      <c r="P34" s="335">
        <f t="shared" si="1"/>
        <v>0</v>
      </c>
      <c r="Q34" s="405">
        <f t="shared" si="6"/>
        <v>0.77759999999999996</v>
      </c>
      <c r="R34" s="348">
        <v>41290</v>
      </c>
      <c r="S34" s="348">
        <v>41321</v>
      </c>
      <c r="T34" s="350">
        <f t="shared" si="7"/>
        <v>3511.7419354838707</v>
      </c>
    </row>
    <row r="35" spans="2:20" x14ac:dyDescent="0.25">
      <c r="F35" s="417">
        <f>F34-C34</f>
        <v>0</v>
      </c>
      <c r="I35" s="334" t="s">
        <v>1003</v>
      </c>
      <c r="J35" s="337" t="s">
        <v>1308</v>
      </c>
      <c r="K35" s="335">
        <v>0</v>
      </c>
      <c r="L35" s="335">
        <v>0</v>
      </c>
      <c r="M35" s="335">
        <v>173000</v>
      </c>
      <c r="N35" s="335">
        <v>0</v>
      </c>
      <c r="O35" s="343">
        <f t="shared" si="0"/>
        <v>173000</v>
      </c>
      <c r="P35" s="335">
        <f t="shared" ref="P35:P56" si="8">IF(M35=0,K35,0)</f>
        <v>0</v>
      </c>
      <c r="Q35" s="403" t="s">
        <v>1327</v>
      </c>
      <c r="R35" s="348"/>
      <c r="S35" s="348"/>
      <c r="T35" s="350">
        <f>O35</f>
        <v>173000</v>
      </c>
    </row>
    <row r="36" spans="2:20" x14ac:dyDescent="0.25">
      <c r="I36" s="334" t="s">
        <v>1004</v>
      </c>
      <c r="J36" s="337" t="s">
        <v>1310</v>
      </c>
      <c r="K36" s="335">
        <v>1250000</v>
      </c>
      <c r="L36" s="335">
        <v>1044</v>
      </c>
      <c r="M36" s="335">
        <v>1769000</v>
      </c>
      <c r="N36" s="335">
        <f>M36-1634202</f>
        <v>134798</v>
      </c>
      <c r="O36" s="335">
        <f t="shared" si="0"/>
        <v>384202</v>
      </c>
      <c r="P36" s="335">
        <f t="shared" si="8"/>
        <v>0</v>
      </c>
      <c r="Q36" s="405"/>
      <c r="R36" s="348">
        <v>41304</v>
      </c>
      <c r="S36" s="348">
        <v>41397</v>
      </c>
      <c r="T36" s="353">
        <f t="shared" si="7"/>
        <v>28918.430107526881</v>
      </c>
    </row>
    <row r="37" spans="2:20" x14ac:dyDescent="0.25">
      <c r="I37" s="334" t="s">
        <v>1006</v>
      </c>
      <c r="J37" s="337" t="s">
        <v>1311</v>
      </c>
      <c r="K37" s="335">
        <v>155040</v>
      </c>
      <c r="L37" s="335">
        <v>3684</v>
      </c>
      <c r="M37" s="335">
        <v>185000</v>
      </c>
      <c r="N37" s="335">
        <f>M37-163244</f>
        <v>21756</v>
      </c>
      <c r="O37" s="335">
        <f t="shared" si="0"/>
        <v>8204</v>
      </c>
      <c r="P37" s="335">
        <f t="shared" si="8"/>
        <v>0</v>
      </c>
      <c r="Q37" s="405">
        <f>O37/K37</f>
        <v>5.2915376676986585E-2</v>
      </c>
      <c r="R37" s="348">
        <v>41304</v>
      </c>
      <c r="S37" s="348">
        <v>41328</v>
      </c>
      <c r="T37" s="353">
        <f>O37/((S37-R37)/7)</f>
        <v>2392.8333333333335</v>
      </c>
    </row>
    <row r="38" spans="2:20" x14ac:dyDescent="0.25">
      <c r="H38" s="225"/>
      <c r="I38" s="187" t="s">
        <v>1004</v>
      </c>
      <c r="J38" s="336" t="s">
        <v>1322</v>
      </c>
      <c r="K38" s="333">
        <v>1913000</v>
      </c>
      <c r="L38" s="333">
        <v>2556</v>
      </c>
      <c r="M38" s="333">
        <v>0</v>
      </c>
      <c r="N38" s="333">
        <v>0</v>
      </c>
      <c r="O38" s="343">
        <f t="shared" si="0"/>
        <v>0</v>
      </c>
      <c r="P38" s="333">
        <f t="shared" si="8"/>
        <v>1913000</v>
      </c>
      <c r="Q38" s="403"/>
      <c r="R38" s="347">
        <v>41309</v>
      </c>
      <c r="S38" s="347"/>
      <c r="T38" s="344"/>
    </row>
    <row r="39" spans="2:20" x14ac:dyDescent="0.25">
      <c r="I39" s="187" t="s">
        <v>1006</v>
      </c>
      <c r="J39" s="336" t="s">
        <v>1323</v>
      </c>
      <c r="K39" s="333">
        <v>850000</v>
      </c>
      <c r="L39" s="333">
        <v>7050</v>
      </c>
      <c r="M39" s="333">
        <v>0</v>
      </c>
      <c r="N39" s="333">
        <v>0</v>
      </c>
      <c r="O39" s="343">
        <f t="shared" si="0"/>
        <v>0</v>
      </c>
      <c r="P39" s="333">
        <f t="shared" si="8"/>
        <v>850000</v>
      </c>
      <c r="Q39" s="403"/>
      <c r="R39" s="347">
        <v>41309</v>
      </c>
      <c r="S39" s="347"/>
      <c r="T39" s="344"/>
    </row>
    <row r="40" spans="2:20" x14ac:dyDescent="0.25">
      <c r="C40" s="129"/>
      <c r="E40" s="30"/>
      <c r="I40" s="187" t="s">
        <v>1004</v>
      </c>
      <c r="J40" s="336" t="s">
        <v>1324</v>
      </c>
      <c r="K40" s="333">
        <v>2100000</v>
      </c>
      <c r="L40" s="333">
        <v>7730</v>
      </c>
      <c r="M40" s="333">
        <v>0</v>
      </c>
      <c r="N40" s="333">
        <v>0</v>
      </c>
      <c r="O40" s="343">
        <f t="shared" si="0"/>
        <v>0</v>
      </c>
      <c r="P40" s="333">
        <f t="shared" si="8"/>
        <v>2100000</v>
      </c>
      <c r="Q40" s="403"/>
      <c r="R40" s="347">
        <v>41316</v>
      </c>
      <c r="S40" s="347"/>
      <c r="T40" s="344"/>
    </row>
    <row r="41" spans="2:20" x14ac:dyDescent="0.25">
      <c r="E41" s="30"/>
      <c r="I41" s="187" t="s">
        <v>1006</v>
      </c>
      <c r="J41" s="336" t="s">
        <v>1325</v>
      </c>
      <c r="K41" s="333">
        <v>761000</v>
      </c>
      <c r="L41" s="333">
        <v>13428</v>
      </c>
      <c r="M41" s="333">
        <v>0</v>
      </c>
      <c r="N41" s="333">
        <v>0</v>
      </c>
      <c r="O41" s="343">
        <f t="shared" ref="O41:O56" si="9">IF(M41=0,0,M41-K41)-N41</f>
        <v>0</v>
      </c>
      <c r="P41" s="333">
        <f t="shared" si="8"/>
        <v>761000</v>
      </c>
      <c r="Q41" s="403"/>
      <c r="R41" s="347">
        <v>41323</v>
      </c>
      <c r="S41" s="347"/>
      <c r="T41" s="344"/>
    </row>
    <row r="42" spans="2:20" x14ac:dyDescent="0.25">
      <c r="I42" s="187" t="s">
        <v>1006</v>
      </c>
      <c r="J42" s="336" t="s">
        <v>1338</v>
      </c>
      <c r="K42" s="333">
        <v>404000</v>
      </c>
      <c r="L42" s="333">
        <v>7536</v>
      </c>
      <c r="M42" s="333">
        <v>0</v>
      </c>
      <c r="N42" s="333">
        <v>0</v>
      </c>
      <c r="O42" s="343">
        <f t="shared" si="9"/>
        <v>0</v>
      </c>
      <c r="P42" s="333">
        <f t="shared" si="8"/>
        <v>404000</v>
      </c>
      <c r="Q42" s="403"/>
      <c r="R42" s="347">
        <v>41325</v>
      </c>
      <c r="S42" s="347"/>
      <c r="T42" s="344"/>
    </row>
    <row r="43" spans="2:20" x14ac:dyDescent="0.25">
      <c r="I43" s="187" t="s">
        <v>1006</v>
      </c>
      <c r="J43" s="336" t="s">
        <v>1339</v>
      </c>
      <c r="K43" s="333">
        <v>785000</v>
      </c>
      <c r="L43" s="333">
        <v>7836</v>
      </c>
      <c r="M43" s="333">
        <v>0</v>
      </c>
      <c r="N43" s="333">
        <v>0</v>
      </c>
      <c r="O43" s="343">
        <f t="shared" si="9"/>
        <v>0</v>
      </c>
      <c r="P43" s="333">
        <f t="shared" si="8"/>
        <v>785000</v>
      </c>
      <c r="Q43" s="403"/>
      <c r="R43" s="347">
        <v>41325</v>
      </c>
      <c r="S43" s="347"/>
      <c r="T43" s="344"/>
    </row>
    <row r="44" spans="2:20" x14ac:dyDescent="0.25">
      <c r="B44" s="225"/>
      <c r="I44" s="11" t="s">
        <v>1003</v>
      </c>
      <c r="J44" s="17" t="s">
        <v>1340</v>
      </c>
      <c r="K44" s="15">
        <v>0</v>
      </c>
      <c r="L44" s="15">
        <v>0</v>
      </c>
      <c r="M44" s="15">
        <v>0</v>
      </c>
      <c r="N44" s="15">
        <v>0</v>
      </c>
      <c r="O44" s="278">
        <f t="shared" si="9"/>
        <v>0</v>
      </c>
      <c r="P44" s="15">
        <f t="shared" si="8"/>
        <v>0</v>
      </c>
      <c r="Q44" s="404"/>
      <c r="R44" s="349">
        <v>41321</v>
      </c>
      <c r="S44" s="349"/>
      <c r="T44" s="351"/>
    </row>
    <row r="45" spans="2:20" x14ac:dyDescent="0.25">
      <c r="I45" s="187" t="s">
        <v>1006</v>
      </c>
      <c r="J45" s="336" t="s">
        <v>1342</v>
      </c>
      <c r="K45" s="333">
        <v>382500</v>
      </c>
      <c r="L45" s="333">
        <v>4476</v>
      </c>
      <c r="M45" s="333">
        <v>0</v>
      </c>
      <c r="N45" s="333">
        <v>0</v>
      </c>
      <c r="O45" s="343">
        <f t="shared" si="9"/>
        <v>0</v>
      </c>
      <c r="P45" s="333">
        <f t="shared" si="8"/>
        <v>382500</v>
      </c>
      <c r="Q45" s="403"/>
      <c r="R45" s="347">
        <v>41332</v>
      </c>
      <c r="S45" s="347"/>
      <c r="T45" s="344"/>
    </row>
    <row r="46" spans="2:20" x14ac:dyDescent="0.25">
      <c r="I46" s="334" t="s">
        <v>1383</v>
      </c>
      <c r="J46" s="337" t="s">
        <v>1384</v>
      </c>
      <c r="K46" s="335">
        <v>130000</v>
      </c>
      <c r="L46" s="335">
        <v>1020</v>
      </c>
      <c r="M46" s="335">
        <v>250000</v>
      </c>
      <c r="N46" s="335">
        <f>M46-221550</f>
        <v>28450</v>
      </c>
      <c r="O46" s="335">
        <f t="shared" si="9"/>
        <v>91550</v>
      </c>
      <c r="P46" s="335">
        <f t="shared" si="8"/>
        <v>0</v>
      </c>
      <c r="Q46" s="405"/>
      <c r="R46" s="348">
        <v>41339</v>
      </c>
      <c r="S46" s="348">
        <v>41367</v>
      </c>
      <c r="T46" s="353">
        <f>O46/((S46-R46)/7)</f>
        <v>22887.5</v>
      </c>
    </row>
    <row r="47" spans="2:20" x14ac:dyDescent="0.25">
      <c r="E47" s="225"/>
      <c r="I47" s="187" t="s">
        <v>1383</v>
      </c>
      <c r="J47" s="336" t="s">
        <v>1386</v>
      </c>
      <c r="K47" s="333">
        <v>12250</v>
      </c>
      <c r="L47" s="333">
        <v>588</v>
      </c>
      <c r="M47" s="333">
        <v>0</v>
      </c>
      <c r="N47" s="333">
        <v>0</v>
      </c>
      <c r="O47" s="343">
        <f t="shared" si="9"/>
        <v>0</v>
      </c>
      <c r="P47" s="333">
        <f t="shared" si="8"/>
        <v>12250</v>
      </c>
      <c r="Q47" s="403"/>
      <c r="R47" s="347">
        <v>41343</v>
      </c>
      <c r="S47" s="347"/>
      <c r="T47" s="344"/>
    </row>
    <row r="48" spans="2:20" x14ac:dyDescent="0.25">
      <c r="I48" s="187" t="s">
        <v>1383</v>
      </c>
      <c r="J48" s="336" t="s">
        <v>1387</v>
      </c>
      <c r="K48" s="333">
        <v>26001</v>
      </c>
      <c r="L48" s="333">
        <v>588</v>
      </c>
      <c r="M48" s="333">
        <v>0</v>
      </c>
      <c r="N48" s="333">
        <v>0</v>
      </c>
      <c r="O48" s="343">
        <f t="shared" si="9"/>
        <v>0</v>
      </c>
      <c r="P48" s="333">
        <f t="shared" si="8"/>
        <v>26001</v>
      </c>
      <c r="Q48" s="403"/>
      <c r="R48" s="347">
        <v>41342</v>
      </c>
      <c r="S48" s="347"/>
      <c r="T48" s="344"/>
    </row>
    <row r="49" spans="9:20" x14ac:dyDescent="0.25">
      <c r="I49" s="11" t="s">
        <v>1003</v>
      </c>
      <c r="J49" s="17" t="s">
        <v>1388</v>
      </c>
      <c r="K49" s="15">
        <v>0</v>
      </c>
      <c r="L49" s="15">
        <v>0</v>
      </c>
      <c r="M49" s="15">
        <v>0</v>
      </c>
      <c r="N49" s="15">
        <v>0</v>
      </c>
      <c r="O49" s="278">
        <f t="shared" si="9"/>
        <v>0</v>
      </c>
      <c r="P49" s="15">
        <f t="shared" si="8"/>
        <v>0</v>
      </c>
      <c r="Q49" s="404"/>
      <c r="R49" s="349">
        <v>41321</v>
      </c>
      <c r="S49" s="349"/>
      <c r="T49" s="351"/>
    </row>
    <row r="50" spans="9:20" x14ac:dyDescent="0.25">
      <c r="I50" s="187" t="s">
        <v>1383</v>
      </c>
      <c r="J50" s="336" t="s">
        <v>1487</v>
      </c>
      <c r="K50" s="333">
        <v>13000</v>
      </c>
      <c r="L50" s="333">
        <v>470</v>
      </c>
      <c r="M50" s="333">
        <v>0</v>
      </c>
      <c r="N50" s="333">
        <v>0</v>
      </c>
      <c r="O50" s="343">
        <f t="shared" si="9"/>
        <v>0</v>
      </c>
      <c r="P50" s="333">
        <f t="shared" si="8"/>
        <v>13000</v>
      </c>
      <c r="Q50" s="403"/>
      <c r="R50" s="347">
        <v>41348</v>
      </c>
      <c r="S50" s="347"/>
      <c r="T50" s="344"/>
    </row>
    <row r="51" spans="9:20" x14ac:dyDescent="0.25">
      <c r="I51" s="334" t="s">
        <v>1004</v>
      </c>
      <c r="J51" s="337" t="s">
        <v>1496</v>
      </c>
      <c r="K51" s="335">
        <v>200000</v>
      </c>
      <c r="L51" s="335">
        <v>540</v>
      </c>
      <c r="M51" s="335">
        <v>816000</v>
      </c>
      <c r="N51" s="335">
        <f>M51-729749</f>
        <v>86251</v>
      </c>
      <c r="O51" s="335">
        <f t="shared" si="9"/>
        <v>529749</v>
      </c>
      <c r="P51" s="335">
        <f t="shared" si="8"/>
        <v>0</v>
      </c>
      <c r="Q51" s="405"/>
      <c r="R51" s="348">
        <v>41358</v>
      </c>
      <c r="S51" s="348">
        <v>41396</v>
      </c>
      <c r="T51" s="353">
        <f>O51/((S51-R51)/7)</f>
        <v>97585.34210526316</v>
      </c>
    </row>
    <row r="52" spans="9:20" x14ac:dyDescent="0.25">
      <c r="I52" s="334" t="s">
        <v>1003</v>
      </c>
      <c r="J52" s="337" t="s">
        <v>1508</v>
      </c>
      <c r="K52" s="335">
        <v>0</v>
      </c>
      <c r="L52" s="335">
        <v>0</v>
      </c>
      <c r="M52" s="335">
        <v>275000</v>
      </c>
      <c r="N52" s="335">
        <f>M52-261250</f>
        <v>13750</v>
      </c>
      <c r="O52" s="335">
        <f t="shared" si="9"/>
        <v>261250</v>
      </c>
      <c r="P52" s="335">
        <f t="shared" si="8"/>
        <v>0</v>
      </c>
      <c r="Q52" s="403" t="s">
        <v>1327</v>
      </c>
      <c r="R52" s="348">
        <v>41367</v>
      </c>
      <c r="S52" s="348">
        <f>R52+3</f>
        <v>41370</v>
      </c>
      <c r="T52" s="353">
        <f>O52</f>
        <v>261250</v>
      </c>
    </row>
    <row r="53" spans="9:20" x14ac:dyDescent="0.25">
      <c r="I53" s="334" t="s">
        <v>1003</v>
      </c>
      <c r="J53" s="337" t="s">
        <v>1510</v>
      </c>
      <c r="K53" s="335">
        <v>0</v>
      </c>
      <c r="L53" s="335">
        <v>0</v>
      </c>
      <c r="M53" s="335">
        <v>614000</v>
      </c>
      <c r="N53" s="335">
        <f>M53-583300</f>
        <v>30700</v>
      </c>
      <c r="O53" s="335">
        <f t="shared" si="9"/>
        <v>583300</v>
      </c>
      <c r="P53" s="335">
        <f t="shared" si="8"/>
        <v>0</v>
      </c>
      <c r="Q53" s="403" t="s">
        <v>1327</v>
      </c>
      <c r="R53" s="348">
        <v>41370</v>
      </c>
      <c r="S53" s="348">
        <f>R53+3</f>
        <v>41373</v>
      </c>
      <c r="T53" s="353">
        <f>O53</f>
        <v>583300</v>
      </c>
    </row>
    <row r="54" spans="9:20" x14ac:dyDescent="0.25">
      <c r="I54" s="187" t="s">
        <v>1383</v>
      </c>
      <c r="J54" s="336" t="s">
        <v>1511</v>
      </c>
      <c r="K54" s="333">
        <v>20000</v>
      </c>
      <c r="L54" s="333">
        <v>564</v>
      </c>
      <c r="M54" s="333">
        <v>0</v>
      </c>
      <c r="N54" s="333">
        <v>0</v>
      </c>
      <c r="O54" s="343">
        <f t="shared" si="9"/>
        <v>0</v>
      </c>
      <c r="P54" s="333">
        <f t="shared" si="8"/>
        <v>20000</v>
      </c>
      <c r="Q54" s="403"/>
      <c r="R54" s="347">
        <v>41374</v>
      </c>
      <c r="S54" s="347"/>
      <c r="T54" s="344"/>
    </row>
    <row r="55" spans="9:20" x14ac:dyDescent="0.25">
      <c r="I55" s="187" t="s">
        <v>1005</v>
      </c>
      <c r="J55" s="336" t="s">
        <v>1512</v>
      </c>
      <c r="K55" s="333">
        <v>90000</v>
      </c>
      <c r="L55" s="333">
        <v>852</v>
      </c>
      <c r="M55" s="333">
        <v>0</v>
      </c>
      <c r="N55" s="333">
        <v>0</v>
      </c>
      <c r="O55" s="343">
        <f t="shared" si="9"/>
        <v>0</v>
      </c>
      <c r="P55" s="333">
        <f t="shared" si="8"/>
        <v>90000</v>
      </c>
      <c r="Q55" s="403"/>
      <c r="R55" s="347">
        <v>41376</v>
      </c>
      <c r="S55" s="347"/>
      <c r="T55" s="344"/>
    </row>
    <row r="56" spans="9:20" x14ac:dyDescent="0.25">
      <c r="I56" s="187" t="s">
        <v>1005</v>
      </c>
      <c r="J56" s="336" t="s">
        <v>1513</v>
      </c>
      <c r="K56" s="333">
        <v>75480</v>
      </c>
      <c r="L56" s="333">
        <v>660</v>
      </c>
      <c r="M56" s="333">
        <v>0</v>
      </c>
      <c r="N56" s="333">
        <v>0</v>
      </c>
      <c r="O56" s="343">
        <f t="shared" si="9"/>
        <v>0</v>
      </c>
      <c r="P56" s="333">
        <f t="shared" si="8"/>
        <v>75480</v>
      </c>
      <c r="Q56" s="403"/>
      <c r="R56" s="347">
        <v>41376</v>
      </c>
      <c r="S56" s="347"/>
      <c r="T56" s="344"/>
    </row>
    <row r="57" spans="9:20" x14ac:dyDescent="0.25">
      <c r="I57" s="187" t="s">
        <v>1005</v>
      </c>
      <c r="J57" s="336" t="s">
        <v>1514</v>
      </c>
      <c r="K57" s="333">
        <v>86000</v>
      </c>
      <c r="L57" s="333">
        <v>900</v>
      </c>
      <c r="M57" s="333">
        <v>0</v>
      </c>
      <c r="N57" s="333">
        <v>0</v>
      </c>
      <c r="O57" s="343">
        <f t="shared" ref="O57:O62" si="10">IF(M57=0,0,M57-K57)-N57</f>
        <v>0</v>
      </c>
      <c r="P57" s="333">
        <f t="shared" ref="P57:P62" si="11">IF(M57=0,K57,0)</f>
        <v>86000</v>
      </c>
      <c r="Q57" s="403"/>
      <c r="R57" s="347">
        <v>41377</v>
      </c>
      <c r="S57" s="347"/>
      <c r="T57" s="344"/>
    </row>
    <row r="58" spans="9:20" x14ac:dyDescent="0.25">
      <c r="I58" s="187" t="s">
        <v>1005</v>
      </c>
      <c r="J58" s="336" t="s">
        <v>1515</v>
      </c>
      <c r="K58" s="333">
        <v>90000</v>
      </c>
      <c r="L58" s="333">
        <v>650</v>
      </c>
      <c r="M58" s="333">
        <v>0</v>
      </c>
      <c r="N58" s="333">
        <v>0</v>
      </c>
      <c r="O58" s="343">
        <f t="shared" si="10"/>
        <v>0</v>
      </c>
      <c r="P58" s="333">
        <f t="shared" si="11"/>
        <v>90000</v>
      </c>
      <c r="Q58" s="403"/>
      <c r="R58" s="347">
        <v>41377</v>
      </c>
      <c r="S58" s="347"/>
      <c r="T58" s="344"/>
    </row>
    <row r="59" spans="9:20" x14ac:dyDescent="0.25">
      <c r="I59" s="187" t="s">
        <v>1005</v>
      </c>
      <c r="J59" s="336" t="s">
        <v>1516</v>
      </c>
      <c r="K59" s="333">
        <v>79000</v>
      </c>
      <c r="L59" s="333">
        <v>1212</v>
      </c>
      <c r="M59" s="333">
        <v>0</v>
      </c>
      <c r="N59" s="333">
        <v>0</v>
      </c>
      <c r="O59" s="343">
        <f t="shared" si="10"/>
        <v>0</v>
      </c>
      <c r="P59" s="333">
        <f t="shared" si="11"/>
        <v>79000</v>
      </c>
      <c r="Q59" s="403"/>
      <c r="R59" s="347">
        <v>41377</v>
      </c>
      <c r="S59" s="347"/>
      <c r="T59" s="344"/>
    </row>
    <row r="60" spans="9:20" x14ac:dyDescent="0.25">
      <c r="I60" s="187" t="s">
        <v>1005</v>
      </c>
      <c r="J60" s="336" t="s">
        <v>1517</v>
      </c>
      <c r="K60" s="333">
        <v>225000</v>
      </c>
      <c r="L60" s="333">
        <v>1764</v>
      </c>
      <c r="M60" s="333">
        <v>0</v>
      </c>
      <c r="N60" s="333">
        <v>0</v>
      </c>
      <c r="O60" s="343">
        <f t="shared" si="10"/>
        <v>0</v>
      </c>
      <c r="P60" s="333">
        <f t="shared" si="11"/>
        <v>225000</v>
      </c>
      <c r="Q60" s="403"/>
      <c r="R60" s="347">
        <v>41377</v>
      </c>
      <c r="S60" s="347"/>
      <c r="T60" s="344"/>
    </row>
    <row r="61" spans="9:20" x14ac:dyDescent="0.25">
      <c r="I61" s="187" t="s">
        <v>1005</v>
      </c>
      <c r="J61" s="336" t="s">
        <v>1518</v>
      </c>
      <c r="K61" s="333">
        <v>99000</v>
      </c>
      <c r="L61" s="333">
        <v>876</v>
      </c>
      <c r="M61" s="333">
        <v>0</v>
      </c>
      <c r="N61" s="333">
        <v>0</v>
      </c>
      <c r="O61" s="343">
        <f t="shared" si="10"/>
        <v>0</v>
      </c>
      <c r="P61" s="333">
        <f t="shared" si="11"/>
        <v>99000</v>
      </c>
      <c r="Q61" s="403"/>
      <c r="R61" s="347">
        <v>41378</v>
      </c>
      <c r="S61" s="347"/>
      <c r="T61" s="344"/>
    </row>
    <row r="62" spans="9:20" x14ac:dyDescent="0.25">
      <c r="I62" s="187" t="s">
        <v>1005</v>
      </c>
      <c r="J62" s="336" t="s">
        <v>1519</v>
      </c>
      <c r="K62" s="333">
        <v>100000</v>
      </c>
      <c r="L62" s="333">
        <v>948</v>
      </c>
      <c r="M62" s="333">
        <v>0</v>
      </c>
      <c r="N62" s="333">
        <v>0</v>
      </c>
      <c r="O62" s="343">
        <f t="shared" si="10"/>
        <v>0</v>
      </c>
      <c r="P62" s="333">
        <f t="shared" si="11"/>
        <v>100000</v>
      </c>
      <c r="Q62" s="403"/>
      <c r="R62" s="347">
        <v>41378</v>
      </c>
      <c r="S62" s="347"/>
      <c r="T62" s="344"/>
    </row>
    <row r="63" spans="9:20" x14ac:dyDescent="0.25">
      <c r="I63" s="187" t="s">
        <v>1005</v>
      </c>
      <c r="J63" s="336" t="s">
        <v>1520</v>
      </c>
      <c r="K63" s="333">
        <v>250000</v>
      </c>
      <c r="L63" s="333">
        <v>1692</v>
      </c>
      <c r="M63" s="333">
        <v>0</v>
      </c>
      <c r="N63" s="333">
        <v>0</v>
      </c>
      <c r="O63" s="343">
        <f t="shared" ref="O63:O80" si="12">IF(M63=0,0,M63-K63)-N63</f>
        <v>0</v>
      </c>
      <c r="P63" s="333">
        <f t="shared" ref="P63:P80" si="13">IF(M63=0,K63,0)</f>
        <v>250000</v>
      </c>
      <c r="Q63" s="403"/>
      <c r="R63" s="347">
        <v>41379</v>
      </c>
      <c r="S63" s="347"/>
      <c r="T63" s="344"/>
    </row>
    <row r="64" spans="9:20" x14ac:dyDescent="0.25">
      <c r="I64" s="187" t="s">
        <v>1005</v>
      </c>
      <c r="J64" s="336" t="s">
        <v>1521</v>
      </c>
      <c r="K64" s="333">
        <v>90000</v>
      </c>
      <c r="L64" s="333">
        <v>564</v>
      </c>
      <c r="M64" s="333">
        <v>0</v>
      </c>
      <c r="N64" s="333">
        <v>0</v>
      </c>
      <c r="O64" s="343">
        <f t="shared" si="12"/>
        <v>0</v>
      </c>
      <c r="P64" s="333">
        <f t="shared" si="13"/>
        <v>90000</v>
      </c>
      <c r="Q64" s="403"/>
      <c r="R64" s="347">
        <v>41379</v>
      </c>
      <c r="S64" s="347"/>
      <c r="T64" s="344"/>
    </row>
    <row r="65" spans="9:20" x14ac:dyDescent="0.25">
      <c r="I65" s="187" t="s">
        <v>1005</v>
      </c>
      <c r="J65" s="336" t="s">
        <v>1522</v>
      </c>
      <c r="K65" s="333">
        <v>250000</v>
      </c>
      <c r="L65" s="333">
        <v>1740</v>
      </c>
      <c r="M65" s="333">
        <v>0</v>
      </c>
      <c r="N65" s="333">
        <v>0</v>
      </c>
      <c r="O65" s="343">
        <f t="shared" si="12"/>
        <v>0</v>
      </c>
      <c r="P65" s="333">
        <f t="shared" si="13"/>
        <v>250000</v>
      </c>
      <c r="Q65" s="403"/>
      <c r="R65" s="347">
        <v>41379</v>
      </c>
      <c r="S65" s="347"/>
      <c r="T65" s="344"/>
    </row>
    <row r="66" spans="9:20" x14ac:dyDescent="0.25">
      <c r="I66" s="187" t="s">
        <v>1005</v>
      </c>
      <c r="J66" s="336" t="s">
        <v>1523</v>
      </c>
      <c r="K66" s="333">
        <v>90000</v>
      </c>
      <c r="L66" s="333">
        <v>732</v>
      </c>
      <c r="M66" s="333">
        <v>0</v>
      </c>
      <c r="N66" s="333">
        <v>0</v>
      </c>
      <c r="O66" s="343">
        <f t="shared" si="12"/>
        <v>0</v>
      </c>
      <c r="P66" s="333">
        <f t="shared" si="13"/>
        <v>90000</v>
      </c>
      <c r="Q66" s="403"/>
      <c r="R66" s="347">
        <v>41380</v>
      </c>
      <c r="S66" s="347"/>
      <c r="T66" s="344"/>
    </row>
    <row r="67" spans="9:20" x14ac:dyDescent="0.25">
      <c r="I67" s="187" t="s">
        <v>1005</v>
      </c>
      <c r="J67" s="336" t="s">
        <v>1524</v>
      </c>
      <c r="K67" s="333">
        <v>100000</v>
      </c>
      <c r="L67" s="333">
        <v>924</v>
      </c>
      <c r="M67" s="333">
        <v>0</v>
      </c>
      <c r="N67" s="333">
        <v>0</v>
      </c>
      <c r="O67" s="343">
        <f t="shared" si="12"/>
        <v>0</v>
      </c>
      <c r="P67" s="333">
        <f t="shared" si="13"/>
        <v>100000</v>
      </c>
      <c r="Q67" s="403"/>
      <c r="R67" s="347">
        <v>41380</v>
      </c>
      <c r="S67" s="347"/>
      <c r="T67" s="344"/>
    </row>
    <row r="68" spans="9:20" x14ac:dyDescent="0.25">
      <c r="I68" s="187" t="s">
        <v>1005</v>
      </c>
      <c r="J68" s="336" t="s">
        <v>1525</v>
      </c>
      <c r="K68" s="333">
        <v>75480</v>
      </c>
      <c r="L68" s="333">
        <v>828</v>
      </c>
      <c r="M68" s="333">
        <v>0</v>
      </c>
      <c r="N68" s="333">
        <v>0</v>
      </c>
      <c r="O68" s="343">
        <f t="shared" si="12"/>
        <v>0</v>
      </c>
      <c r="P68" s="333">
        <f t="shared" si="13"/>
        <v>75480</v>
      </c>
      <c r="Q68" s="403"/>
      <c r="R68" s="347">
        <v>41380</v>
      </c>
      <c r="S68" s="347"/>
      <c r="T68" s="344"/>
    </row>
    <row r="69" spans="9:20" x14ac:dyDescent="0.25">
      <c r="I69" s="187" t="s">
        <v>1005</v>
      </c>
      <c r="J69" s="336" t="s">
        <v>1571</v>
      </c>
      <c r="K69" s="333">
        <v>94000</v>
      </c>
      <c r="L69" s="333">
        <v>756</v>
      </c>
      <c r="M69" s="333">
        <v>0</v>
      </c>
      <c r="N69" s="333">
        <v>0</v>
      </c>
      <c r="O69" s="343">
        <f t="shared" si="12"/>
        <v>0</v>
      </c>
      <c r="P69" s="333">
        <f t="shared" si="13"/>
        <v>94000</v>
      </c>
      <c r="Q69" s="403"/>
      <c r="R69" s="347">
        <v>41380</v>
      </c>
      <c r="S69" s="347"/>
      <c r="T69" s="344"/>
    </row>
    <row r="70" spans="9:20" x14ac:dyDescent="0.25">
      <c r="I70" s="187" t="s">
        <v>1005</v>
      </c>
      <c r="J70" s="336" t="s">
        <v>1572</v>
      </c>
      <c r="K70" s="333">
        <v>95000</v>
      </c>
      <c r="L70" s="333">
        <v>852</v>
      </c>
      <c r="M70" s="333">
        <v>0</v>
      </c>
      <c r="N70" s="333">
        <v>0</v>
      </c>
      <c r="O70" s="343">
        <f t="shared" si="12"/>
        <v>0</v>
      </c>
      <c r="P70" s="333">
        <f t="shared" si="13"/>
        <v>95000</v>
      </c>
      <c r="Q70" s="403"/>
      <c r="R70" s="347">
        <v>41380</v>
      </c>
      <c r="S70" s="347"/>
      <c r="T70" s="344"/>
    </row>
    <row r="71" spans="9:20" x14ac:dyDescent="0.25">
      <c r="I71" s="187" t="s">
        <v>1005</v>
      </c>
      <c r="J71" s="336" t="s">
        <v>1573</v>
      </c>
      <c r="K71" s="333">
        <v>88740</v>
      </c>
      <c r="L71" s="333">
        <v>492</v>
      </c>
      <c r="M71" s="333">
        <v>0</v>
      </c>
      <c r="N71" s="333">
        <v>0</v>
      </c>
      <c r="O71" s="343">
        <f t="shared" si="12"/>
        <v>0</v>
      </c>
      <c r="P71" s="333">
        <f t="shared" si="13"/>
        <v>88740</v>
      </c>
      <c r="Q71" s="403"/>
      <c r="R71" s="347">
        <v>41381</v>
      </c>
      <c r="S71" s="347"/>
      <c r="T71" s="344"/>
    </row>
    <row r="72" spans="9:20" x14ac:dyDescent="0.25">
      <c r="I72" s="187" t="s">
        <v>1005</v>
      </c>
      <c r="J72" s="336" t="s">
        <v>1574</v>
      </c>
      <c r="K72" s="333">
        <v>100000</v>
      </c>
      <c r="L72" s="333">
        <v>804</v>
      </c>
      <c r="M72" s="333">
        <v>0</v>
      </c>
      <c r="N72" s="333">
        <v>0</v>
      </c>
      <c r="O72" s="343">
        <f t="shared" si="12"/>
        <v>0</v>
      </c>
      <c r="P72" s="333">
        <f t="shared" si="13"/>
        <v>100000</v>
      </c>
      <c r="Q72" s="403"/>
      <c r="R72" s="347">
        <v>41381</v>
      </c>
      <c r="S72" s="347"/>
      <c r="T72" s="344"/>
    </row>
    <row r="73" spans="9:20" x14ac:dyDescent="0.25">
      <c r="I73" s="187" t="s">
        <v>1005</v>
      </c>
      <c r="J73" s="336" t="s">
        <v>1575</v>
      </c>
      <c r="K73" s="333">
        <v>77000</v>
      </c>
      <c r="L73" s="333">
        <v>828</v>
      </c>
      <c r="M73" s="333">
        <v>0</v>
      </c>
      <c r="N73" s="333">
        <v>0</v>
      </c>
      <c r="O73" s="343">
        <f t="shared" si="12"/>
        <v>0</v>
      </c>
      <c r="P73" s="333">
        <f t="shared" si="13"/>
        <v>77000</v>
      </c>
      <c r="Q73" s="403"/>
      <c r="R73" s="347">
        <v>41381</v>
      </c>
      <c r="S73" s="347"/>
      <c r="T73" s="344"/>
    </row>
    <row r="74" spans="9:20" x14ac:dyDescent="0.25">
      <c r="I74" s="187" t="s">
        <v>1005</v>
      </c>
      <c r="J74" s="336" t="s">
        <v>1576</v>
      </c>
      <c r="K74" s="333">
        <v>58140</v>
      </c>
      <c r="L74" s="333">
        <v>804</v>
      </c>
      <c r="M74" s="333">
        <v>0</v>
      </c>
      <c r="N74" s="333">
        <v>0</v>
      </c>
      <c r="O74" s="343">
        <f t="shared" si="12"/>
        <v>0</v>
      </c>
      <c r="P74" s="333">
        <f t="shared" si="13"/>
        <v>58140</v>
      </c>
      <c r="Q74" s="403"/>
      <c r="R74" s="347">
        <v>41382</v>
      </c>
      <c r="S74" s="347"/>
      <c r="T74" s="344"/>
    </row>
    <row r="75" spans="9:20" x14ac:dyDescent="0.25">
      <c r="I75" s="187" t="s">
        <v>1006</v>
      </c>
      <c r="J75" s="336" t="s">
        <v>1577</v>
      </c>
      <c r="K75" s="333">
        <v>50000</v>
      </c>
      <c r="L75" s="333">
        <v>1310</v>
      </c>
      <c r="M75" s="333">
        <v>0</v>
      </c>
      <c r="N75" s="333">
        <v>0</v>
      </c>
      <c r="O75" s="343">
        <f t="shared" si="12"/>
        <v>0</v>
      </c>
      <c r="P75" s="333">
        <f t="shared" si="13"/>
        <v>50000</v>
      </c>
      <c r="Q75" s="403"/>
      <c r="R75" s="347">
        <v>41387</v>
      </c>
      <c r="S75" s="347"/>
      <c r="T75" s="344"/>
    </row>
    <row r="76" spans="9:20" x14ac:dyDescent="0.25">
      <c r="I76" s="187" t="s">
        <v>1004</v>
      </c>
      <c r="J76" s="336" t="s">
        <v>1578</v>
      </c>
      <c r="K76" s="333">
        <v>75000</v>
      </c>
      <c r="L76" s="333">
        <v>1740</v>
      </c>
      <c r="M76" s="333">
        <v>0</v>
      </c>
      <c r="N76" s="333">
        <v>0</v>
      </c>
      <c r="O76" s="343">
        <f t="shared" si="12"/>
        <v>0</v>
      </c>
      <c r="P76" s="333">
        <f t="shared" si="13"/>
        <v>75000</v>
      </c>
      <c r="Q76" s="403"/>
      <c r="R76" s="347">
        <v>41391</v>
      </c>
      <c r="S76" s="347"/>
      <c r="T76" s="344"/>
    </row>
    <row r="77" spans="9:20" x14ac:dyDescent="0.25">
      <c r="I77" s="187" t="s">
        <v>1006</v>
      </c>
      <c r="J77" s="336" t="s">
        <v>1579</v>
      </c>
      <c r="K77" s="333">
        <v>400000</v>
      </c>
      <c r="L77" s="333">
        <v>14820</v>
      </c>
      <c r="M77" s="333">
        <v>0</v>
      </c>
      <c r="N77" s="333">
        <v>0</v>
      </c>
      <c r="O77" s="343">
        <f t="shared" si="12"/>
        <v>0</v>
      </c>
      <c r="P77" s="333">
        <f t="shared" si="13"/>
        <v>400000</v>
      </c>
      <c r="Q77" s="403"/>
      <c r="R77" s="347">
        <v>41394</v>
      </c>
      <c r="S77" s="347"/>
      <c r="T77" s="344"/>
    </row>
    <row r="78" spans="9:20" x14ac:dyDescent="0.25">
      <c r="I78" s="334" t="s">
        <v>1003</v>
      </c>
      <c r="J78" s="337" t="s">
        <v>1580</v>
      </c>
      <c r="K78" s="335">
        <v>0</v>
      </c>
      <c r="L78" s="335">
        <v>0</v>
      </c>
      <c r="M78" s="335">
        <v>4000</v>
      </c>
      <c r="N78" s="335">
        <v>200</v>
      </c>
      <c r="O78" s="335">
        <f t="shared" si="12"/>
        <v>3800</v>
      </c>
      <c r="P78" s="335">
        <f t="shared" si="13"/>
        <v>0</v>
      </c>
      <c r="Q78" s="403" t="s">
        <v>1327</v>
      </c>
      <c r="R78" s="348">
        <v>41321</v>
      </c>
      <c r="S78" s="348">
        <v>41397</v>
      </c>
      <c r="T78" s="353">
        <f>O78</f>
        <v>3800</v>
      </c>
    </row>
    <row r="79" spans="9:20" x14ac:dyDescent="0.25">
      <c r="I79" s="187" t="s">
        <v>1004</v>
      </c>
      <c r="J79" s="336" t="s">
        <v>1582</v>
      </c>
      <c r="K79" s="333">
        <v>1699999</v>
      </c>
      <c r="L79" s="420">
        <v>6612</v>
      </c>
      <c r="M79" s="333">
        <v>0</v>
      </c>
      <c r="N79" s="333">
        <v>0</v>
      </c>
      <c r="O79" s="343">
        <f t="shared" si="12"/>
        <v>0</v>
      </c>
      <c r="P79" s="333">
        <f t="shared" si="13"/>
        <v>1699999</v>
      </c>
      <c r="Q79" s="403"/>
      <c r="R79" s="347">
        <v>41401</v>
      </c>
      <c r="S79" s="347"/>
      <c r="T79" s="344"/>
    </row>
    <row r="80" spans="9:20" x14ac:dyDescent="0.25">
      <c r="I80" s="187" t="s">
        <v>1004</v>
      </c>
      <c r="J80" s="336" t="s">
        <v>1585</v>
      </c>
      <c r="K80" s="333">
        <v>580000</v>
      </c>
      <c r="L80" s="333">
        <v>972</v>
      </c>
      <c r="M80" s="333">
        <v>0</v>
      </c>
      <c r="N80" s="333">
        <v>0</v>
      </c>
      <c r="O80" s="343">
        <f t="shared" si="12"/>
        <v>0</v>
      </c>
      <c r="P80" s="333">
        <f t="shared" si="13"/>
        <v>580000</v>
      </c>
      <c r="Q80" s="403"/>
      <c r="R80" s="347">
        <v>41404</v>
      </c>
      <c r="S80" s="347"/>
      <c r="T80" s="344"/>
    </row>
    <row r="81" spans="9:20" x14ac:dyDescent="0.25">
      <c r="I81" s="459"/>
      <c r="J81" s="459" t="s">
        <v>1709</v>
      </c>
      <c r="K81" s="460"/>
      <c r="L81" s="459"/>
      <c r="M81" s="460"/>
      <c r="N81" s="460"/>
      <c r="O81" s="460"/>
      <c r="P81" s="459"/>
      <c r="Q81" s="462"/>
      <c r="R81" s="459"/>
      <c r="S81" s="459"/>
      <c r="T81" s="461"/>
    </row>
  </sheetData>
  <autoFilter ref="I3:T81"/>
  <mergeCells count="5">
    <mergeCell ref="B3:G3"/>
    <mergeCell ref="B4:C4"/>
    <mergeCell ref="E4:F4"/>
    <mergeCell ref="B2:G2"/>
    <mergeCell ref="I2:T2"/>
  </mergeCells>
  <conditionalFormatting sqref="O4:O45 F12:F17 Q4:Q45 T4:T45">
    <cfRule type="cellIs" dxfId="1870" priority="131" operator="lessThan">
      <formula>0</formula>
    </cfRule>
    <cfRule type="cellIs" dxfId="1869" priority="132" operator="greaterThan">
      <formula>0</formula>
    </cfRule>
  </conditionalFormatting>
  <conditionalFormatting sqref="O46 Q46 T46">
    <cfRule type="cellIs" dxfId="1868" priority="87" operator="lessThan">
      <formula>0</formula>
    </cfRule>
    <cfRule type="cellIs" dxfId="1867" priority="88" operator="greaterThan">
      <formula>0</formula>
    </cfRule>
  </conditionalFormatting>
  <conditionalFormatting sqref="O47 Q47 T47">
    <cfRule type="cellIs" dxfId="1866" priority="85" operator="lessThan">
      <formula>0</formula>
    </cfRule>
    <cfRule type="cellIs" dxfId="1865" priority="86" operator="greaterThan">
      <formula>0</formula>
    </cfRule>
  </conditionalFormatting>
  <conditionalFormatting sqref="O48 Q48 T48">
    <cfRule type="cellIs" dxfId="1864" priority="83" operator="lessThan">
      <formula>0</formula>
    </cfRule>
    <cfRule type="cellIs" dxfId="1863" priority="84" operator="greaterThan">
      <formula>0</formula>
    </cfRule>
  </conditionalFormatting>
  <conditionalFormatting sqref="O49 T49 Q49">
    <cfRule type="cellIs" dxfId="1862" priority="81" operator="lessThan">
      <formula>0</formula>
    </cfRule>
    <cfRule type="cellIs" dxfId="1861" priority="82" operator="greaterThan">
      <formula>0</formula>
    </cfRule>
  </conditionalFormatting>
  <conditionalFormatting sqref="O50 Q50 T50">
    <cfRule type="cellIs" dxfId="1860" priority="79" operator="lessThan">
      <formula>0</formula>
    </cfRule>
    <cfRule type="cellIs" dxfId="1859" priority="80" operator="greaterThan">
      <formula>0</formula>
    </cfRule>
  </conditionalFormatting>
  <conditionalFormatting sqref="O51 Q51 T51">
    <cfRule type="cellIs" dxfId="1858" priority="77" operator="lessThan">
      <formula>0</formula>
    </cfRule>
    <cfRule type="cellIs" dxfId="1857" priority="78" operator="greaterThan">
      <formula>0</formula>
    </cfRule>
  </conditionalFormatting>
  <conditionalFormatting sqref="T46">
    <cfRule type="cellIs" dxfId="1856" priority="75" operator="lessThan">
      <formula>0</formula>
    </cfRule>
    <cfRule type="cellIs" dxfId="1855" priority="76" operator="greaterThan">
      <formula>0</formula>
    </cfRule>
  </conditionalFormatting>
  <conditionalFormatting sqref="O52 T52 Q52">
    <cfRule type="cellIs" dxfId="1854" priority="73" operator="lessThan">
      <formula>0</formula>
    </cfRule>
    <cfRule type="cellIs" dxfId="1853" priority="74" operator="greaterThan">
      <formula>0</formula>
    </cfRule>
  </conditionalFormatting>
  <conditionalFormatting sqref="T52">
    <cfRule type="cellIs" dxfId="1852" priority="71" operator="lessThan">
      <formula>0</formula>
    </cfRule>
    <cfRule type="cellIs" dxfId="1851" priority="72" operator="greaterThan">
      <formula>0</formula>
    </cfRule>
  </conditionalFormatting>
  <conditionalFormatting sqref="O53 T53 Q53">
    <cfRule type="cellIs" dxfId="1850" priority="69" operator="lessThan">
      <formula>0</formula>
    </cfRule>
    <cfRule type="cellIs" dxfId="1849" priority="70" operator="greaterThan">
      <formula>0</formula>
    </cfRule>
  </conditionalFormatting>
  <conditionalFormatting sqref="T53">
    <cfRule type="cellIs" dxfId="1848" priority="67" operator="lessThan">
      <formula>0</formula>
    </cfRule>
    <cfRule type="cellIs" dxfId="1847" priority="68" operator="greaterThan">
      <formula>0</formula>
    </cfRule>
  </conditionalFormatting>
  <conditionalFormatting sqref="O54 Q54 T54">
    <cfRule type="cellIs" dxfId="1846" priority="65" operator="lessThan">
      <formula>0</formula>
    </cfRule>
    <cfRule type="cellIs" dxfId="1845" priority="66" operator="greaterThan">
      <formula>0</formula>
    </cfRule>
  </conditionalFormatting>
  <conditionalFormatting sqref="O55 Q55 T55">
    <cfRule type="cellIs" dxfId="1844" priority="63" operator="lessThan">
      <formula>0</formula>
    </cfRule>
    <cfRule type="cellIs" dxfId="1843" priority="64" operator="greaterThan">
      <formula>0</formula>
    </cfRule>
  </conditionalFormatting>
  <conditionalFormatting sqref="O56 Q56 T56">
    <cfRule type="cellIs" dxfId="1842" priority="61" operator="lessThan">
      <formula>0</formula>
    </cfRule>
    <cfRule type="cellIs" dxfId="1841" priority="62" operator="greaterThan">
      <formula>0</formula>
    </cfRule>
  </conditionalFormatting>
  <conditionalFormatting sqref="O57 Q57 T57">
    <cfRule type="cellIs" dxfId="1840" priority="59" operator="lessThan">
      <formula>0</formula>
    </cfRule>
    <cfRule type="cellIs" dxfId="1839" priority="60" operator="greaterThan">
      <formula>0</formula>
    </cfRule>
  </conditionalFormatting>
  <conditionalFormatting sqref="O58 Q58 T58">
    <cfRule type="cellIs" dxfId="1838" priority="57" operator="lessThan">
      <formula>0</formula>
    </cfRule>
    <cfRule type="cellIs" dxfId="1837" priority="58" operator="greaterThan">
      <formula>0</formula>
    </cfRule>
  </conditionalFormatting>
  <conditionalFormatting sqref="O59 Q59 T59">
    <cfRule type="cellIs" dxfId="1836" priority="55" operator="lessThan">
      <formula>0</formula>
    </cfRule>
    <cfRule type="cellIs" dxfId="1835" priority="56" operator="greaterThan">
      <formula>0</formula>
    </cfRule>
  </conditionalFormatting>
  <conditionalFormatting sqref="O60 Q60 T60">
    <cfRule type="cellIs" dxfId="1834" priority="53" operator="lessThan">
      <formula>0</formula>
    </cfRule>
    <cfRule type="cellIs" dxfId="1833" priority="54" operator="greaterThan">
      <formula>0</formula>
    </cfRule>
  </conditionalFormatting>
  <conditionalFormatting sqref="O61 Q61 T61">
    <cfRule type="cellIs" dxfId="1832" priority="51" operator="lessThan">
      <formula>0</formula>
    </cfRule>
    <cfRule type="cellIs" dxfId="1831" priority="52" operator="greaterThan">
      <formula>0</formula>
    </cfRule>
  </conditionalFormatting>
  <conditionalFormatting sqref="O62 Q62 T62">
    <cfRule type="cellIs" dxfId="1830" priority="49" operator="lessThan">
      <formula>0</formula>
    </cfRule>
    <cfRule type="cellIs" dxfId="1829" priority="50" operator="greaterThan">
      <formula>0</formula>
    </cfRule>
  </conditionalFormatting>
  <conditionalFormatting sqref="O63 Q63 T63">
    <cfRule type="cellIs" dxfId="1828" priority="47" operator="lessThan">
      <formula>0</formula>
    </cfRule>
    <cfRule type="cellIs" dxfId="1827" priority="48" operator="greaterThan">
      <formula>0</formula>
    </cfRule>
  </conditionalFormatting>
  <conditionalFormatting sqref="O64 Q64 T64">
    <cfRule type="cellIs" dxfId="1826" priority="45" operator="lessThan">
      <formula>0</formula>
    </cfRule>
    <cfRule type="cellIs" dxfId="1825" priority="46" operator="greaterThan">
      <formula>0</formula>
    </cfRule>
  </conditionalFormatting>
  <conditionalFormatting sqref="O65 Q65 T65">
    <cfRule type="cellIs" dxfId="1824" priority="43" operator="lessThan">
      <formula>0</formula>
    </cfRule>
    <cfRule type="cellIs" dxfId="1823" priority="44" operator="greaterThan">
      <formula>0</formula>
    </cfRule>
  </conditionalFormatting>
  <conditionalFormatting sqref="O66 Q66 T66">
    <cfRule type="cellIs" dxfId="1822" priority="41" operator="lessThan">
      <formula>0</formula>
    </cfRule>
    <cfRule type="cellIs" dxfId="1821" priority="42" operator="greaterThan">
      <formula>0</formula>
    </cfRule>
  </conditionalFormatting>
  <conditionalFormatting sqref="O67 Q67 T67">
    <cfRule type="cellIs" dxfId="1820" priority="39" operator="lessThan">
      <formula>0</formula>
    </cfRule>
    <cfRule type="cellIs" dxfId="1819" priority="40" operator="greaterThan">
      <formula>0</formula>
    </cfRule>
  </conditionalFormatting>
  <conditionalFormatting sqref="O68 Q68 T68">
    <cfRule type="cellIs" dxfId="1818" priority="37" operator="lessThan">
      <formula>0</formula>
    </cfRule>
    <cfRule type="cellIs" dxfId="1817" priority="38" operator="greaterThan">
      <formula>0</formula>
    </cfRule>
  </conditionalFormatting>
  <conditionalFormatting sqref="O69 Q69 T69">
    <cfRule type="cellIs" dxfId="1816" priority="35" operator="lessThan">
      <formula>0</formula>
    </cfRule>
    <cfRule type="cellIs" dxfId="1815" priority="36" operator="greaterThan">
      <formula>0</formula>
    </cfRule>
  </conditionalFormatting>
  <conditionalFormatting sqref="O70 Q70 T70">
    <cfRule type="cellIs" dxfId="1814" priority="33" operator="lessThan">
      <formula>0</formula>
    </cfRule>
    <cfRule type="cellIs" dxfId="1813" priority="34" operator="greaterThan">
      <formula>0</formula>
    </cfRule>
  </conditionalFormatting>
  <conditionalFormatting sqref="O71 Q71 T71">
    <cfRule type="cellIs" dxfId="1812" priority="31" operator="lessThan">
      <formula>0</formula>
    </cfRule>
    <cfRule type="cellIs" dxfId="1811" priority="32" operator="greaterThan">
      <formula>0</formula>
    </cfRule>
  </conditionalFormatting>
  <conditionalFormatting sqref="O72 Q72 T72">
    <cfRule type="cellIs" dxfId="1810" priority="29" operator="lessThan">
      <formula>0</formula>
    </cfRule>
    <cfRule type="cellIs" dxfId="1809" priority="30" operator="greaterThan">
      <formula>0</formula>
    </cfRule>
  </conditionalFormatting>
  <conditionalFormatting sqref="O73 Q73 T73">
    <cfRule type="cellIs" dxfId="1808" priority="27" operator="lessThan">
      <formula>0</formula>
    </cfRule>
    <cfRule type="cellIs" dxfId="1807" priority="28" operator="greaterThan">
      <formula>0</formula>
    </cfRule>
  </conditionalFormatting>
  <conditionalFormatting sqref="O74 Q74 T74">
    <cfRule type="cellIs" dxfId="1806" priority="25" operator="lessThan">
      <formula>0</formula>
    </cfRule>
    <cfRule type="cellIs" dxfId="1805" priority="26" operator="greaterThan">
      <formula>0</formula>
    </cfRule>
  </conditionalFormatting>
  <conditionalFormatting sqref="O75 Q75 T75">
    <cfRule type="cellIs" dxfId="1804" priority="23" operator="lessThan">
      <formula>0</formula>
    </cfRule>
    <cfRule type="cellIs" dxfId="1803" priority="24" operator="greaterThan">
      <formula>0</formula>
    </cfRule>
  </conditionalFormatting>
  <conditionalFormatting sqref="O76 Q76 T76">
    <cfRule type="cellIs" dxfId="1802" priority="21" operator="lessThan">
      <formula>0</formula>
    </cfRule>
    <cfRule type="cellIs" dxfId="1801" priority="22" operator="greaterThan">
      <formula>0</formula>
    </cfRule>
  </conditionalFormatting>
  <conditionalFormatting sqref="O77 Q77 T77">
    <cfRule type="cellIs" dxfId="1800" priority="19" operator="lessThan">
      <formula>0</formula>
    </cfRule>
    <cfRule type="cellIs" dxfId="1799" priority="20" operator="greaterThan">
      <formula>0</formula>
    </cfRule>
  </conditionalFormatting>
  <conditionalFormatting sqref="T51">
    <cfRule type="cellIs" dxfId="1798" priority="17" operator="lessThan">
      <formula>0</formula>
    </cfRule>
    <cfRule type="cellIs" dxfId="1797" priority="18" operator="greaterThan">
      <formula>0</formula>
    </cfRule>
  </conditionalFormatting>
  <conditionalFormatting sqref="O78 T78 Q78">
    <cfRule type="cellIs" dxfId="1796" priority="15" operator="lessThan">
      <formula>0</formula>
    </cfRule>
    <cfRule type="cellIs" dxfId="1795" priority="16" operator="greaterThan">
      <formula>0</formula>
    </cfRule>
  </conditionalFormatting>
  <conditionalFormatting sqref="T78">
    <cfRule type="cellIs" dxfId="1794" priority="13" operator="lessThan">
      <formula>0</formula>
    </cfRule>
    <cfRule type="cellIs" dxfId="1793" priority="14" operator="greaterThan">
      <formula>0</formula>
    </cfRule>
  </conditionalFormatting>
  <conditionalFormatting sqref="T78">
    <cfRule type="cellIs" dxfId="1792" priority="11" operator="lessThan">
      <formula>0</formula>
    </cfRule>
    <cfRule type="cellIs" dxfId="1791" priority="12" operator="greaterThan">
      <formula>0</formula>
    </cfRule>
  </conditionalFormatting>
  <conditionalFormatting sqref="Q52">
    <cfRule type="cellIs" dxfId="1790" priority="9" operator="lessThan">
      <formula>0</formula>
    </cfRule>
    <cfRule type="cellIs" dxfId="1789" priority="10" operator="greaterThan">
      <formula>0</formula>
    </cfRule>
  </conditionalFormatting>
  <conditionalFormatting sqref="Q53">
    <cfRule type="cellIs" dxfId="1788" priority="7" operator="lessThan">
      <formula>0</formula>
    </cfRule>
    <cfRule type="cellIs" dxfId="1787" priority="8" operator="greaterThan">
      <formula>0</formula>
    </cfRule>
  </conditionalFormatting>
  <conditionalFormatting sqref="Q78">
    <cfRule type="cellIs" dxfId="1786" priority="5" operator="lessThan">
      <formula>0</formula>
    </cfRule>
    <cfRule type="cellIs" dxfId="1785" priority="6" operator="greaterThan">
      <formula>0</formula>
    </cfRule>
  </conditionalFormatting>
  <conditionalFormatting sqref="O79 Q79 T79">
    <cfRule type="cellIs" dxfId="1784" priority="3" operator="lessThan">
      <formula>0</formula>
    </cfRule>
    <cfRule type="cellIs" dxfId="1783" priority="4" operator="greaterThan">
      <formula>0</formula>
    </cfRule>
  </conditionalFormatting>
  <conditionalFormatting sqref="O80 Q80 T80">
    <cfRule type="cellIs" dxfId="1782" priority="1" operator="lessThan">
      <formula>0</formula>
    </cfRule>
    <cfRule type="cellIs" dxfId="1781" priority="2" operator="greaterThan">
      <formula>0</formula>
    </cfRule>
  </conditionalFormatting>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workbookViewId="0">
      <pane xSplit="3" ySplit="4" topLeftCell="K5" activePane="bottomRight" state="frozen"/>
      <selection pane="topRight" activeCell="D1" sqref="D1"/>
      <selection pane="bottomLeft" activeCell="A5" sqref="A5"/>
      <selection pane="bottomRight" activeCell="M9" sqref="M9"/>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6.7109375" style="418" bestFit="1" customWidth="1"/>
    <col min="6" max="6" width="16.7109375" bestFit="1" customWidth="1"/>
    <col min="7" max="7" width="16.7109375" style="97" bestFit="1" customWidth="1"/>
    <col min="8" max="9" width="16.7109375" bestFit="1" customWidth="1"/>
    <col min="10" max="19" width="16.7109375" style="5" bestFit="1" customWidth="1"/>
    <col min="20" max="23" width="11.42578125" style="5"/>
    <col min="24" max="24" width="11.5703125" style="5" bestFit="1" customWidth="1"/>
    <col min="25" max="25" width="16.140625" style="5" customWidth="1"/>
    <col min="26" max="26" width="9.7109375" style="5" bestFit="1" customWidth="1"/>
    <col min="27" max="16384" width="11.42578125" style="5"/>
  </cols>
  <sheetData>
    <row r="1" spans="1:26" ht="23.25" x14ac:dyDescent="0.35">
      <c r="A1" s="156" t="s">
        <v>13</v>
      </c>
      <c r="B1" s="255"/>
      <c r="C1" s="255"/>
      <c r="X1" s="376"/>
    </row>
    <row r="2" spans="1:26" s="178" customFormat="1" ht="12.75" x14ac:dyDescent="0.2">
      <c r="B2" s="297"/>
      <c r="C2" s="297"/>
      <c r="D2" s="181">
        <f>EconomiaT39!S2+7</f>
        <v>41405</v>
      </c>
      <c r="E2" s="181">
        <f>D2+7</f>
        <v>41412</v>
      </c>
      <c r="F2" s="181">
        <f t="shared" ref="F2:S2" si="0">E2+7</f>
        <v>41419</v>
      </c>
      <c r="G2" s="181">
        <f t="shared" si="0"/>
        <v>41426</v>
      </c>
      <c r="H2" s="181">
        <f t="shared" si="0"/>
        <v>41433</v>
      </c>
      <c r="I2" s="181">
        <f t="shared" si="0"/>
        <v>41440</v>
      </c>
      <c r="J2" s="181">
        <f t="shared" si="0"/>
        <v>41447</v>
      </c>
      <c r="K2" s="181">
        <f t="shared" si="0"/>
        <v>41454</v>
      </c>
      <c r="L2" s="181">
        <f t="shared" si="0"/>
        <v>41461</v>
      </c>
      <c r="M2" s="181">
        <f t="shared" si="0"/>
        <v>41468</v>
      </c>
      <c r="N2" s="181">
        <f t="shared" si="0"/>
        <v>41475</v>
      </c>
      <c r="O2" s="181">
        <f t="shared" si="0"/>
        <v>41482</v>
      </c>
      <c r="P2" s="181">
        <f t="shared" si="0"/>
        <v>41489</v>
      </c>
      <c r="Q2" s="181">
        <f t="shared" si="0"/>
        <v>41496</v>
      </c>
      <c r="R2" s="181">
        <f t="shared" si="0"/>
        <v>41503</v>
      </c>
      <c r="S2" s="181">
        <f t="shared" si="0"/>
        <v>41510</v>
      </c>
      <c r="T2" s="181"/>
      <c r="U2" s="181"/>
      <c r="V2" s="181"/>
      <c r="W2" s="181"/>
      <c r="X2" s="181"/>
    </row>
    <row r="3" spans="1:26" s="6" customFormat="1" x14ac:dyDescent="0.25">
      <c r="A3" s="27"/>
      <c r="B3" s="27" t="s">
        <v>1581</v>
      </c>
      <c r="C3" s="27"/>
      <c r="D3" s="386" t="s">
        <v>16</v>
      </c>
      <c r="E3" s="386" t="s">
        <v>715</v>
      </c>
      <c r="F3" s="386" t="s">
        <v>702</v>
      </c>
      <c r="G3" s="386" t="s">
        <v>703</v>
      </c>
      <c r="H3" s="386" t="s">
        <v>704</v>
      </c>
      <c r="I3" s="386" t="s">
        <v>705</v>
      </c>
      <c r="J3" s="386" t="s">
        <v>21</v>
      </c>
      <c r="K3" s="386" t="s">
        <v>22</v>
      </c>
      <c r="L3" s="386" t="s">
        <v>23</v>
      </c>
      <c r="M3" s="386" t="s">
        <v>17</v>
      </c>
      <c r="N3" s="386" t="s">
        <v>18</v>
      </c>
      <c r="O3" s="386" t="s">
        <v>24</v>
      </c>
      <c r="P3" s="386" t="s">
        <v>25</v>
      </c>
      <c r="Q3" s="386" t="s">
        <v>26</v>
      </c>
      <c r="R3" s="386" t="s">
        <v>27</v>
      </c>
      <c r="S3" s="386" t="s">
        <v>28</v>
      </c>
    </row>
    <row r="4" spans="1:26" s="6" customFormat="1" x14ac:dyDescent="0.25">
      <c r="A4" s="27"/>
      <c r="B4" s="298"/>
      <c r="C4" s="298" t="s">
        <v>42</v>
      </c>
      <c r="D4" s="215">
        <v>1751</v>
      </c>
      <c r="E4" s="215">
        <f>D4+(D11/30)</f>
        <v>1759</v>
      </c>
      <c r="F4" s="215">
        <f t="shared" ref="F4:R4" si="1">E4+(E11/30)</f>
        <v>1771</v>
      </c>
      <c r="G4" s="215">
        <f t="shared" si="1"/>
        <v>1781</v>
      </c>
      <c r="H4" s="215">
        <f t="shared" si="1"/>
        <v>1793</v>
      </c>
      <c r="I4" s="215">
        <f t="shared" si="1"/>
        <v>1805</v>
      </c>
      <c r="J4" s="215">
        <f t="shared" si="1"/>
        <v>1807</v>
      </c>
      <c r="K4" s="215">
        <f t="shared" si="1"/>
        <v>1807</v>
      </c>
      <c r="L4" s="215">
        <f t="shared" si="1"/>
        <v>1809</v>
      </c>
      <c r="M4" s="215">
        <f t="shared" si="1"/>
        <v>1815</v>
      </c>
      <c r="N4" s="215">
        <f t="shared" si="1"/>
        <v>1817</v>
      </c>
      <c r="O4" s="215">
        <f t="shared" si="1"/>
        <v>1825</v>
      </c>
      <c r="P4" s="215">
        <f t="shared" si="1"/>
        <v>1837</v>
      </c>
      <c r="Q4" s="215">
        <f t="shared" si="1"/>
        <v>1849</v>
      </c>
      <c r="R4" s="215">
        <f t="shared" si="1"/>
        <v>1861</v>
      </c>
      <c r="S4" s="215">
        <f>R4+(R11/30)</f>
        <v>1873</v>
      </c>
    </row>
    <row r="5" spans="1:26" s="7" customFormat="1" ht="18.75" x14ac:dyDescent="0.3">
      <c r="A5" s="29" t="s">
        <v>12</v>
      </c>
      <c r="B5" s="29"/>
      <c r="C5" s="296">
        <f>EconomiaT39!S24</f>
        <v>748238</v>
      </c>
      <c r="D5" s="197">
        <f>C5</f>
        <v>748238</v>
      </c>
      <c r="E5" s="197">
        <f>D24</f>
        <v>27882</v>
      </c>
      <c r="F5" s="197">
        <f t="shared" ref="F5:S5" si="2">E24</f>
        <v>1460051</v>
      </c>
      <c r="G5" s="197">
        <f t="shared" si="2"/>
        <v>2278609</v>
      </c>
      <c r="H5" s="197">
        <f t="shared" si="2"/>
        <v>2616751</v>
      </c>
      <c r="I5" s="197">
        <f t="shared" si="2"/>
        <v>3181749</v>
      </c>
      <c r="J5" s="197">
        <f t="shared" si="2"/>
        <v>3436912</v>
      </c>
      <c r="K5" s="197">
        <f t="shared" si="2"/>
        <v>4270564</v>
      </c>
      <c r="L5" s="197">
        <f t="shared" si="2"/>
        <v>4790151</v>
      </c>
      <c r="M5" s="197">
        <f t="shared" si="2"/>
        <v>3528811</v>
      </c>
      <c r="N5" s="197">
        <f t="shared" si="2"/>
        <v>1206491</v>
      </c>
      <c r="O5" s="197">
        <f t="shared" si="2"/>
        <v>2817279</v>
      </c>
      <c r="P5" s="197">
        <f t="shared" si="2"/>
        <v>704811</v>
      </c>
      <c r="Q5" s="197">
        <f t="shared" si="2"/>
        <v>624841</v>
      </c>
      <c r="R5" s="197">
        <f t="shared" si="2"/>
        <v>488385</v>
      </c>
      <c r="S5" s="197">
        <f t="shared" si="2"/>
        <v>460319</v>
      </c>
    </row>
    <row r="6" spans="1:26" x14ac:dyDescent="0.25">
      <c r="A6" s="8" t="s">
        <v>0</v>
      </c>
      <c r="B6" s="8" t="s">
        <v>0</v>
      </c>
      <c r="C6" s="199">
        <f>SUM(D6:S6)</f>
        <v>3519650</v>
      </c>
      <c r="D6" s="200">
        <v>48098</v>
      </c>
      <c r="E6" s="200">
        <v>63410</v>
      </c>
      <c r="F6" s="200">
        <f>207703+352551</f>
        <v>560254</v>
      </c>
      <c r="G6" s="200">
        <f>238800</f>
        <v>238800</v>
      </c>
      <c r="H6" s="200">
        <f>409222+281435</f>
        <v>690657</v>
      </c>
      <c r="I6" s="200">
        <v>281435</v>
      </c>
      <c r="J6" s="200">
        <f>253022+6401</f>
        <v>259423</v>
      </c>
      <c r="K6" s="200">
        <v>4364</v>
      </c>
      <c r="L6" s="200">
        <f>249575+7562</f>
        <v>257137</v>
      </c>
      <c r="M6" s="200">
        <v>12596</v>
      </c>
      <c r="N6" s="200">
        <v>290999</v>
      </c>
      <c r="O6" s="200">
        <v>5277</v>
      </c>
      <c r="P6" s="200">
        <f>417202+6404</f>
        <v>423606</v>
      </c>
      <c r="Q6" s="200">
        <v>8859</v>
      </c>
      <c r="R6" s="200">
        <f>353571+7180</f>
        <v>360751</v>
      </c>
      <c r="S6" s="200">
        <v>13984</v>
      </c>
      <c r="Y6" s="8" t="s">
        <v>0</v>
      </c>
      <c r="Z6" s="219">
        <f>C6/$C$13</f>
        <v>0.21536114546320193</v>
      </c>
    </row>
    <row r="7" spans="1:26" x14ac:dyDescent="0.25">
      <c r="A7" s="8" t="s">
        <v>2</v>
      </c>
      <c r="B7" s="8" t="s">
        <v>2</v>
      </c>
      <c r="C7" s="199">
        <f t="shared" ref="C7:C23" si="3">SUM(D7:S7)</f>
        <v>1556115</v>
      </c>
      <c r="D7" s="202">
        <v>74190</v>
      </c>
      <c r="E7" s="202">
        <v>85105</v>
      </c>
      <c r="F7" s="202">
        <v>91950</v>
      </c>
      <c r="G7" s="202">
        <f>F7+3500+200</f>
        <v>95650</v>
      </c>
      <c r="H7" s="202">
        <v>98055</v>
      </c>
      <c r="I7" s="202">
        <v>99350</v>
      </c>
      <c r="J7" s="202">
        <v>99905</v>
      </c>
      <c r="K7" s="202">
        <v>100090</v>
      </c>
      <c r="L7" s="202">
        <v>100275</v>
      </c>
      <c r="M7" s="202">
        <f>L7+370</f>
        <v>100645</v>
      </c>
      <c r="N7" s="202">
        <f>M7</f>
        <v>100645</v>
      </c>
      <c r="O7" s="202">
        <v>101015</v>
      </c>
      <c r="P7" s="202">
        <v>101570</v>
      </c>
      <c r="Q7" s="202">
        <v>102125</v>
      </c>
      <c r="R7" s="202">
        <v>102495</v>
      </c>
      <c r="S7" s="202">
        <v>103050</v>
      </c>
      <c r="Y7" s="8" t="s">
        <v>2</v>
      </c>
      <c r="Z7" s="219">
        <f t="shared" ref="Z7:Z12" si="4">C7/$C$13</f>
        <v>9.5215918876158268E-2</v>
      </c>
    </row>
    <row r="8" spans="1:26" x14ac:dyDescent="0.25">
      <c r="A8" s="8" t="s">
        <v>3</v>
      </c>
      <c r="B8" s="8" t="s">
        <v>48</v>
      </c>
      <c r="C8" s="199">
        <f t="shared" si="3"/>
        <v>10467338</v>
      </c>
      <c r="D8" s="200">
        <v>0</v>
      </c>
      <c r="E8" s="200">
        <f>129336+150478+111196+142064+142332+146650+311080</f>
        <v>1133136</v>
      </c>
      <c r="F8" s="200">
        <f>241508+154728</f>
        <v>396236</v>
      </c>
      <c r="G8" s="200">
        <v>117221</v>
      </c>
      <c r="H8" s="200">
        <v>0</v>
      </c>
      <c r="I8" s="200">
        <v>104432</v>
      </c>
      <c r="J8" s="200">
        <v>708438</v>
      </c>
      <c r="K8" s="200">
        <f>110064+110442+91575+233759</f>
        <v>545840</v>
      </c>
      <c r="L8" s="200">
        <f>96495+255750+383160+1909315</f>
        <v>2644720</v>
      </c>
      <c r="M8" s="200">
        <v>97645</v>
      </c>
      <c r="N8" s="200">
        <v>2418930</v>
      </c>
      <c r="O8" s="200">
        <v>1120570</v>
      </c>
      <c r="P8" s="200">
        <v>376650</v>
      </c>
      <c r="Q8" s="200">
        <v>0</v>
      </c>
      <c r="R8" s="200">
        <v>0</v>
      </c>
      <c r="S8" s="200">
        <f>82770+720750</f>
        <v>803520</v>
      </c>
      <c r="Y8" s="8" t="s">
        <v>48</v>
      </c>
      <c r="Z8" s="219">
        <f t="shared" si="4"/>
        <v>0.64047786047774669</v>
      </c>
    </row>
    <row r="9" spans="1:26" x14ac:dyDescent="0.25">
      <c r="A9" s="8"/>
      <c r="B9" s="8" t="s">
        <v>820</v>
      </c>
      <c r="C9" s="199">
        <f t="shared" si="3"/>
        <v>565060</v>
      </c>
      <c r="D9" s="200">
        <v>0</v>
      </c>
      <c r="E9" s="200">
        <v>380000</v>
      </c>
      <c r="F9" s="200">
        <v>0</v>
      </c>
      <c r="G9" s="200">
        <v>0</v>
      </c>
      <c r="H9" s="200">
        <v>0</v>
      </c>
      <c r="I9" s="200">
        <v>0</v>
      </c>
      <c r="J9" s="200">
        <v>0</v>
      </c>
      <c r="K9" s="200">
        <f>950+97869</f>
        <v>98819</v>
      </c>
      <c r="L9" s="200">
        <v>0</v>
      </c>
      <c r="M9" s="200">
        <v>0</v>
      </c>
      <c r="N9" s="200">
        <v>0</v>
      </c>
      <c r="O9" s="200">
        <v>0</v>
      </c>
      <c r="P9" s="200">
        <v>86241</v>
      </c>
      <c r="Q9" s="200">
        <v>0</v>
      </c>
      <c r="R9" s="200">
        <v>0</v>
      </c>
      <c r="S9" s="200">
        <v>0</v>
      </c>
      <c r="Y9" s="8" t="s">
        <v>820</v>
      </c>
      <c r="Z9" s="219">
        <f t="shared" si="4"/>
        <v>3.4575019918297804E-2</v>
      </c>
    </row>
    <row r="10" spans="1:26" x14ac:dyDescent="0.25">
      <c r="A10" s="8" t="s">
        <v>5</v>
      </c>
      <c r="B10" s="8" t="s">
        <v>5</v>
      </c>
      <c r="C10" s="199">
        <f t="shared" si="3"/>
        <v>129700</v>
      </c>
      <c r="D10" s="202">
        <v>0</v>
      </c>
      <c r="E10" s="202">
        <v>0</v>
      </c>
      <c r="F10" s="202">
        <v>0</v>
      </c>
      <c r="G10" s="202">
        <f>45900+43676+12841+8680</f>
        <v>111097</v>
      </c>
      <c r="H10" s="202">
        <v>0</v>
      </c>
      <c r="I10" s="202">
        <v>0</v>
      </c>
      <c r="J10" s="202">
        <v>0</v>
      </c>
      <c r="K10" s="202">
        <v>0</v>
      </c>
      <c r="L10" s="202">
        <v>0</v>
      </c>
      <c r="M10" s="202">
        <v>1530</v>
      </c>
      <c r="N10" s="202">
        <v>0</v>
      </c>
      <c r="O10" s="202">
        <v>0</v>
      </c>
      <c r="P10" s="202">
        <v>2245</v>
      </c>
      <c r="Q10" s="202">
        <v>10688</v>
      </c>
      <c r="R10" s="202">
        <v>0</v>
      </c>
      <c r="S10" s="202">
        <f>947+2445+748</f>
        <v>4140</v>
      </c>
      <c r="Y10" s="8" t="s">
        <v>5</v>
      </c>
      <c r="Z10" s="219">
        <f t="shared" si="4"/>
        <v>7.9361131267533108E-3</v>
      </c>
    </row>
    <row r="11" spans="1:26" x14ac:dyDescent="0.25">
      <c r="A11" s="728" t="s">
        <v>7</v>
      </c>
      <c r="B11" s="8" t="s">
        <v>42</v>
      </c>
      <c r="C11" s="199">
        <f t="shared" si="3"/>
        <v>60150</v>
      </c>
      <c r="D11" s="202">
        <v>240</v>
      </c>
      <c r="E11" s="202">
        <v>360</v>
      </c>
      <c r="F11" s="202">
        <v>300</v>
      </c>
      <c r="G11" s="202">
        <v>360</v>
      </c>
      <c r="H11" s="202">
        <f t="shared" ref="H11:R11" si="5">G11</f>
        <v>360</v>
      </c>
      <c r="I11" s="202">
        <v>60</v>
      </c>
      <c r="J11" s="202">
        <v>0</v>
      </c>
      <c r="K11" s="202">
        <v>60</v>
      </c>
      <c r="L11" s="202">
        <v>180</v>
      </c>
      <c r="M11" s="202">
        <v>60</v>
      </c>
      <c r="N11" s="202">
        <v>240</v>
      </c>
      <c r="O11" s="202">
        <v>360</v>
      </c>
      <c r="P11" s="202">
        <f t="shared" si="5"/>
        <v>360</v>
      </c>
      <c r="Q11" s="202">
        <f t="shared" si="5"/>
        <v>360</v>
      </c>
      <c r="R11" s="202">
        <f t="shared" si="5"/>
        <v>360</v>
      </c>
      <c r="S11" s="202">
        <f>(S4*30)+150+150</f>
        <v>56490</v>
      </c>
      <c r="Y11" s="8" t="s">
        <v>19</v>
      </c>
      <c r="Z11" s="219">
        <f t="shared" si="4"/>
        <v>3.680471893401786E-3</v>
      </c>
    </row>
    <row r="12" spans="1:26" x14ac:dyDescent="0.25">
      <c r="A12" s="729"/>
      <c r="B12" s="8" t="s">
        <v>51</v>
      </c>
      <c r="C12" s="199">
        <f t="shared" si="3"/>
        <v>45000</v>
      </c>
      <c r="D12" s="202">
        <v>0</v>
      </c>
      <c r="E12" s="202">
        <v>0</v>
      </c>
      <c r="F12" s="202">
        <v>0</v>
      </c>
      <c r="G12" s="202">
        <v>0</v>
      </c>
      <c r="H12" s="202">
        <v>0</v>
      </c>
      <c r="I12" s="202">
        <v>0</v>
      </c>
      <c r="J12" s="202">
        <v>0</v>
      </c>
      <c r="K12" s="202">
        <v>0</v>
      </c>
      <c r="L12" s="202">
        <v>0</v>
      </c>
      <c r="M12" s="202">
        <v>0</v>
      </c>
      <c r="N12" s="202">
        <v>0</v>
      </c>
      <c r="O12" s="202">
        <v>0</v>
      </c>
      <c r="P12" s="202">
        <v>0</v>
      </c>
      <c r="Q12" s="202">
        <v>0</v>
      </c>
      <c r="R12" s="202">
        <v>0</v>
      </c>
      <c r="S12" s="202">
        <v>45000</v>
      </c>
      <c r="Y12" s="8" t="s">
        <v>51</v>
      </c>
      <c r="Z12" s="219">
        <f t="shared" si="4"/>
        <v>2.7534702444402389E-3</v>
      </c>
    </row>
    <row r="13" spans="1:26" s="21" customFormat="1" ht="18.75" x14ac:dyDescent="0.3">
      <c r="A13" s="19" t="s">
        <v>14</v>
      </c>
      <c r="B13" s="20"/>
      <c r="C13" s="203">
        <f t="shared" si="3"/>
        <v>16343013</v>
      </c>
      <c r="D13" s="204">
        <f t="shared" ref="D13:I13" si="6">SUM(D6:D12)</f>
        <v>122528</v>
      </c>
      <c r="E13" s="204">
        <f t="shared" si="6"/>
        <v>1662011</v>
      </c>
      <c r="F13" s="204">
        <f t="shared" si="6"/>
        <v>1048740</v>
      </c>
      <c r="G13" s="204">
        <f>G12+G11+G10+G9+G8+G7+G6</f>
        <v>563128</v>
      </c>
      <c r="H13" s="204">
        <f t="shared" si="6"/>
        <v>789072</v>
      </c>
      <c r="I13" s="204">
        <f t="shared" si="6"/>
        <v>485277</v>
      </c>
      <c r="J13" s="204">
        <f t="shared" ref="J13:S13" si="7">SUM(J6:J12)</f>
        <v>1067766</v>
      </c>
      <c r="K13" s="204">
        <f t="shared" si="7"/>
        <v>749173</v>
      </c>
      <c r="L13" s="204">
        <f t="shared" si="7"/>
        <v>3002312</v>
      </c>
      <c r="M13" s="204">
        <f t="shared" si="7"/>
        <v>212476</v>
      </c>
      <c r="N13" s="204">
        <f t="shared" si="7"/>
        <v>2810814</v>
      </c>
      <c r="O13" s="204">
        <f t="shared" si="7"/>
        <v>1227222</v>
      </c>
      <c r="P13" s="204">
        <f t="shared" si="7"/>
        <v>990672</v>
      </c>
      <c r="Q13" s="204">
        <f t="shared" si="7"/>
        <v>122032</v>
      </c>
      <c r="R13" s="204">
        <f t="shared" si="7"/>
        <v>463606</v>
      </c>
      <c r="S13" s="204">
        <f t="shared" si="7"/>
        <v>1026184</v>
      </c>
      <c r="Z13" s="222">
        <f>SUM(Z6:Z12)</f>
        <v>1</v>
      </c>
    </row>
    <row r="14" spans="1:26" ht="18.75" x14ac:dyDescent="0.3">
      <c r="A14" s="22" t="s">
        <v>1</v>
      </c>
      <c r="B14" s="23" t="str">
        <f>A14</f>
        <v>Sueldos</v>
      </c>
      <c r="C14" s="206">
        <f t="shared" si="3"/>
        <v>2279380</v>
      </c>
      <c r="D14" s="207">
        <v>138630</v>
      </c>
      <c r="E14" s="207">
        <v>140088</v>
      </c>
      <c r="F14" s="207">
        <v>135028</v>
      </c>
      <c r="G14" s="207">
        <v>131832</v>
      </c>
      <c r="H14" s="207">
        <v>130920</v>
      </c>
      <c r="I14" s="207">
        <v>130960</v>
      </c>
      <c r="J14" s="207">
        <f>I14</f>
        <v>130960</v>
      </c>
      <c r="K14" s="207">
        <v>124432</v>
      </c>
      <c r="L14" s="207">
        <v>121066</v>
      </c>
      <c r="M14" s="207">
        <v>123190</v>
      </c>
      <c r="N14" s="207">
        <v>138982</v>
      </c>
      <c r="O14" s="207">
        <v>144672</v>
      </c>
      <c r="P14" s="207">
        <v>160838</v>
      </c>
      <c r="Q14" s="207">
        <v>171734</v>
      </c>
      <c r="R14" s="207">
        <v>174538</v>
      </c>
      <c r="S14" s="207">
        <f>R14+6972</f>
        <v>181510</v>
      </c>
      <c r="Y14" s="744">
        <f>C13</f>
        <v>16343013</v>
      </c>
      <c r="Z14" s="745"/>
    </row>
    <row r="15" spans="1:26" x14ac:dyDescent="0.25">
      <c r="A15" s="22" t="s">
        <v>29</v>
      </c>
      <c r="B15" s="23" t="str">
        <f>A15</f>
        <v xml:space="preserve">Mantenimiento </v>
      </c>
      <c r="C15" s="206">
        <f t="shared" si="3"/>
        <v>434464</v>
      </c>
      <c r="D15" s="207">
        <f>EconomiaT39!S15</f>
        <v>27154</v>
      </c>
      <c r="E15" s="207">
        <f t="shared" ref="E15:P15" si="8">D15</f>
        <v>27154</v>
      </c>
      <c r="F15" s="207">
        <f t="shared" si="8"/>
        <v>27154</v>
      </c>
      <c r="G15" s="207">
        <f t="shared" si="8"/>
        <v>27154</v>
      </c>
      <c r="H15" s="207">
        <f t="shared" si="8"/>
        <v>27154</v>
      </c>
      <c r="I15" s="207">
        <f t="shared" si="8"/>
        <v>27154</v>
      </c>
      <c r="J15" s="207">
        <f t="shared" si="8"/>
        <v>27154</v>
      </c>
      <c r="K15" s="207">
        <f t="shared" si="8"/>
        <v>27154</v>
      </c>
      <c r="L15" s="207">
        <f t="shared" si="8"/>
        <v>27154</v>
      </c>
      <c r="M15" s="207">
        <f t="shared" si="8"/>
        <v>27154</v>
      </c>
      <c r="N15" s="207">
        <f t="shared" si="8"/>
        <v>27154</v>
      </c>
      <c r="O15" s="207">
        <f t="shared" si="8"/>
        <v>27154</v>
      </c>
      <c r="P15" s="207">
        <f t="shared" si="8"/>
        <v>27154</v>
      </c>
      <c r="Q15" s="207">
        <v>27154</v>
      </c>
      <c r="R15" s="207">
        <f>Q15</f>
        <v>27154</v>
      </c>
      <c r="S15" s="207">
        <f>R15</f>
        <v>27154</v>
      </c>
    </row>
    <row r="16" spans="1:26" x14ac:dyDescent="0.25">
      <c r="A16" s="22" t="s">
        <v>4</v>
      </c>
      <c r="B16" s="23" t="s">
        <v>30</v>
      </c>
      <c r="C16" s="206">
        <f t="shared" si="3"/>
        <v>221380</v>
      </c>
      <c r="D16" s="207">
        <v>0</v>
      </c>
      <c r="E16" s="207">
        <v>0</v>
      </c>
      <c r="F16" s="207">
        <v>0</v>
      </c>
      <c r="G16" s="207">
        <v>0</v>
      </c>
      <c r="H16" s="207"/>
      <c r="I16" s="207"/>
      <c r="J16" s="207"/>
      <c r="K16" s="207"/>
      <c r="L16" s="207"/>
      <c r="M16" s="207">
        <v>0</v>
      </c>
      <c r="N16" s="207">
        <v>0</v>
      </c>
      <c r="O16" s="207">
        <v>0</v>
      </c>
      <c r="P16" s="207">
        <v>0</v>
      </c>
      <c r="Q16" s="207">
        <v>0</v>
      </c>
      <c r="R16" s="207">
        <v>221380</v>
      </c>
      <c r="S16" s="207">
        <v>0</v>
      </c>
    </row>
    <row r="17" spans="1:26" x14ac:dyDescent="0.25">
      <c r="A17" s="22" t="s">
        <v>6</v>
      </c>
      <c r="B17" s="23" t="str">
        <f>A17</f>
        <v>Empleados</v>
      </c>
      <c r="C17" s="206">
        <f t="shared" si="3"/>
        <v>682200</v>
      </c>
      <c r="D17" s="207">
        <f>EconomiaT39!S17</f>
        <v>39600</v>
      </c>
      <c r="E17" s="207">
        <f>D17</f>
        <v>39600</v>
      </c>
      <c r="F17" s="207">
        <v>45000</v>
      </c>
      <c r="G17" s="207">
        <f t="shared" ref="G17:R17" si="9">F17</f>
        <v>45000</v>
      </c>
      <c r="H17" s="207">
        <f t="shared" si="9"/>
        <v>45000</v>
      </c>
      <c r="I17" s="207">
        <f t="shared" si="9"/>
        <v>45000</v>
      </c>
      <c r="J17" s="207">
        <f t="shared" si="9"/>
        <v>45000</v>
      </c>
      <c r="K17" s="207">
        <f t="shared" si="9"/>
        <v>45000</v>
      </c>
      <c r="L17" s="207">
        <f t="shared" si="9"/>
        <v>45000</v>
      </c>
      <c r="M17" s="207">
        <f t="shared" si="9"/>
        <v>45000</v>
      </c>
      <c r="N17" s="207">
        <f t="shared" si="9"/>
        <v>45000</v>
      </c>
      <c r="O17" s="207">
        <v>39600</v>
      </c>
      <c r="P17" s="207">
        <f t="shared" si="9"/>
        <v>39600</v>
      </c>
      <c r="Q17" s="207">
        <f>P17</f>
        <v>39600</v>
      </c>
      <c r="R17" s="207">
        <f t="shared" si="9"/>
        <v>39600</v>
      </c>
      <c r="S17" s="207">
        <f>R17</f>
        <v>39600</v>
      </c>
    </row>
    <row r="18" spans="1:26" x14ac:dyDescent="0.25">
      <c r="A18" s="22" t="s">
        <v>8</v>
      </c>
      <c r="B18" s="23" t="str">
        <f>A18</f>
        <v>Juveniles</v>
      </c>
      <c r="C18" s="206">
        <f t="shared" si="3"/>
        <v>320000</v>
      </c>
      <c r="D18" s="207">
        <f>EconomiaT38!S18</f>
        <v>20000</v>
      </c>
      <c r="E18" s="207">
        <f>D18</f>
        <v>20000</v>
      </c>
      <c r="F18" s="207">
        <f t="shared" ref="F18:P18" si="10">E18</f>
        <v>20000</v>
      </c>
      <c r="G18" s="207">
        <f t="shared" si="10"/>
        <v>20000</v>
      </c>
      <c r="H18" s="207">
        <f t="shared" si="10"/>
        <v>20000</v>
      </c>
      <c r="I18" s="207">
        <f t="shared" si="10"/>
        <v>20000</v>
      </c>
      <c r="J18" s="207">
        <f t="shared" si="10"/>
        <v>20000</v>
      </c>
      <c r="K18" s="207">
        <f t="shared" si="10"/>
        <v>20000</v>
      </c>
      <c r="L18" s="207">
        <f t="shared" si="10"/>
        <v>20000</v>
      </c>
      <c r="M18" s="207">
        <f t="shared" si="10"/>
        <v>20000</v>
      </c>
      <c r="N18" s="207">
        <f t="shared" si="10"/>
        <v>20000</v>
      </c>
      <c r="O18" s="207">
        <f t="shared" si="10"/>
        <v>20000</v>
      </c>
      <c r="P18" s="207">
        <f t="shared" si="10"/>
        <v>20000</v>
      </c>
      <c r="Q18" s="207">
        <f>P18</f>
        <v>20000</v>
      </c>
      <c r="R18" s="207">
        <f>Q18</f>
        <v>20000</v>
      </c>
      <c r="S18" s="207">
        <f>R18</f>
        <v>20000</v>
      </c>
    </row>
    <row r="19" spans="1:26" x14ac:dyDescent="0.25">
      <c r="A19" s="22" t="s">
        <v>9</v>
      </c>
      <c r="B19" s="23" t="s">
        <v>50</v>
      </c>
      <c r="C19" s="206">
        <f t="shared" si="3"/>
        <v>11881080</v>
      </c>
      <c r="D19" s="207">
        <v>0</v>
      </c>
      <c r="E19" s="207">
        <v>0</v>
      </c>
      <c r="F19" s="207">
        <v>0</v>
      </c>
      <c r="G19" s="207">
        <v>0</v>
      </c>
      <c r="H19" s="207">
        <v>0</v>
      </c>
      <c r="I19" s="207">
        <v>0</v>
      </c>
      <c r="J19" s="207">
        <v>0</v>
      </c>
      <c r="K19" s="207">
        <v>0</v>
      </c>
      <c r="L19" s="207">
        <f>2019788+2017000+13644</f>
        <v>4050432</v>
      </c>
      <c r="M19" s="207">
        <v>2316452</v>
      </c>
      <c r="N19" s="207">
        <v>960490</v>
      </c>
      <c r="O19" s="207">
        <f>1805000+6372+1286892</f>
        <v>3098264</v>
      </c>
      <c r="P19" s="207">
        <f>800000+15050</f>
        <v>815050</v>
      </c>
      <c r="Q19" s="207">
        <v>0</v>
      </c>
      <c r="R19" s="207">
        <v>0</v>
      </c>
      <c r="S19" s="207">
        <f>633420+6972</f>
        <v>640392</v>
      </c>
    </row>
    <row r="20" spans="1:26" x14ac:dyDescent="0.25">
      <c r="A20" s="24" t="s">
        <v>7</v>
      </c>
      <c r="B20" s="23" t="s">
        <v>11</v>
      </c>
      <c r="C20" s="206">
        <f t="shared" si="3"/>
        <v>592100</v>
      </c>
      <c r="D20" s="207">
        <v>592100</v>
      </c>
      <c r="E20" s="207">
        <v>0</v>
      </c>
      <c r="F20" s="207">
        <v>0</v>
      </c>
      <c r="G20" s="207">
        <v>0</v>
      </c>
      <c r="H20" s="207">
        <v>0</v>
      </c>
      <c r="I20" s="207">
        <v>0</v>
      </c>
      <c r="J20" s="207">
        <v>0</v>
      </c>
      <c r="K20" s="207">
        <v>0</v>
      </c>
      <c r="L20" s="207">
        <v>0</v>
      </c>
      <c r="M20" s="207">
        <v>0</v>
      </c>
      <c r="N20" s="207">
        <v>0</v>
      </c>
      <c r="O20" s="207">
        <v>0</v>
      </c>
      <c r="P20" s="207">
        <v>0</v>
      </c>
      <c r="Q20" s="207">
        <v>0</v>
      </c>
      <c r="R20" s="207">
        <v>0</v>
      </c>
      <c r="S20" s="207">
        <v>0</v>
      </c>
    </row>
    <row r="21" spans="1:26" x14ac:dyDescent="0.25">
      <c r="A21" s="24"/>
      <c r="B21" s="23" t="s">
        <v>818</v>
      </c>
      <c r="C21" s="206">
        <f t="shared" si="3"/>
        <v>108800</v>
      </c>
      <c r="D21" s="207">
        <v>25400</v>
      </c>
      <c r="E21" s="207">
        <v>3000</v>
      </c>
      <c r="F21" s="207">
        <v>3000</v>
      </c>
      <c r="G21" s="207">
        <v>1000</v>
      </c>
      <c r="H21" s="207">
        <v>1000</v>
      </c>
      <c r="I21" s="207">
        <v>7000</v>
      </c>
      <c r="J21" s="207">
        <v>11000</v>
      </c>
      <c r="K21" s="207">
        <v>13000</v>
      </c>
      <c r="L21" s="207">
        <v>0</v>
      </c>
      <c r="M21" s="207">
        <v>3000</v>
      </c>
      <c r="N21" s="207">
        <v>8400</v>
      </c>
      <c r="O21" s="207">
        <v>10000</v>
      </c>
      <c r="P21" s="207">
        <v>8000</v>
      </c>
      <c r="Q21" s="207">
        <v>0</v>
      </c>
      <c r="R21" s="207">
        <v>9000</v>
      </c>
      <c r="S21" s="207">
        <v>6000</v>
      </c>
    </row>
    <row r="22" spans="1:26" x14ac:dyDescent="0.25">
      <c r="A22" s="22" t="s">
        <v>10</v>
      </c>
      <c r="B22" s="23" t="str">
        <f>A22</f>
        <v>Intereses</v>
      </c>
      <c r="C22" s="206">
        <f t="shared" si="3"/>
        <v>0</v>
      </c>
      <c r="D22" s="207">
        <v>0</v>
      </c>
      <c r="E22" s="207">
        <v>0</v>
      </c>
      <c r="F22" s="207">
        <v>0</v>
      </c>
      <c r="G22" s="207">
        <v>0</v>
      </c>
      <c r="H22" s="207">
        <v>0</v>
      </c>
      <c r="I22" s="207">
        <v>0</v>
      </c>
      <c r="J22" s="207">
        <v>0</v>
      </c>
      <c r="K22" s="207">
        <v>0</v>
      </c>
      <c r="L22" s="207">
        <v>0</v>
      </c>
      <c r="M22" s="207">
        <v>0</v>
      </c>
      <c r="N22" s="207">
        <v>0</v>
      </c>
      <c r="O22" s="207">
        <v>0</v>
      </c>
      <c r="P22" s="207">
        <v>0</v>
      </c>
      <c r="Q22" s="207">
        <v>0</v>
      </c>
      <c r="R22" s="207">
        <v>0</v>
      </c>
      <c r="S22" s="207">
        <v>0</v>
      </c>
    </row>
    <row r="23" spans="1:26" s="31" customFormat="1" ht="18.75" x14ac:dyDescent="0.3">
      <c r="A23" s="25" t="s">
        <v>15</v>
      </c>
      <c r="B23" s="26"/>
      <c r="C23" s="209">
        <f t="shared" si="3"/>
        <v>16519404</v>
      </c>
      <c r="D23" s="210">
        <f t="shared" ref="D23:I23" si="11">SUM(D14:D22)</f>
        <v>842884</v>
      </c>
      <c r="E23" s="210">
        <f t="shared" si="11"/>
        <v>229842</v>
      </c>
      <c r="F23" s="210">
        <f t="shared" si="11"/>
        <v>230182</v>
      </c>
      <c r="G23" s="210">
        <f t="shared" si="11"/>
        <v>224986</v>
      </c>
      <c r="H23" s="210">
        <f t="shared" si="11"/>
        <v>224074</v>
      </c>
      <c r="I23" s="210">
        <f t="shared" si="11"/>
        <v>230114</v>
      </c>
      <c r="J23" s="210">
        <f t="shared" ref="J23:S23" si="12">SUM(J14:J22)</f>
        <v>234114</v>
      </c>
      <c r="K23" s="210">
        <f t="shared" si="12"/>
        <v>229586</v>
      </c>
      <c r="L23" s="210">
        <f t="shared" si="12"/>
        <v>4263652</v>
      </c>
      <c r="M23" s="210">
        <f t="shared" si="12"/>
        <v>2534796</v>
      </c>
      <c r="N23" s="210">
        <f t="shared" si="12"/>
        <v>1200026</v>
      </c>
      <c r="O23" s="210">
        <f t="shared" si="12"/>
        <v>3339690</v>
      </c>
      <c r="P23" s="210">
        <f t="shared" si="12"/>
        <v>1070642</v>
      </c>
      <c r="Q23" s="210">
        <f t="shared" si="12"/>
        <v>258488</v>
      </c>
      <c r="R23" s="210">
        <f t="shared" si="12"/>
        <v>491672</v>
      </c>
      <c r="S23" s="210">
        <f t="shared" si="12"/>
        <v>914656</v>
      </c>
      <c r="Y23" s="23" t="s">
        <v>1</v>
      </c>
      <c r="Z23" s="220">
        <f>C14/$C$23</f>
        <v>0.13798197562091224</v>
      </c>
    </row>
    <row r="24" spans="1:26" s="7" customFormat="1" ht="18.75" x14ac:dyDescent="0.3">
      <c r="A24" s="9" t="s">
        <v>20</v>
      </c>
      <c r="B24" s="9"/>
      <c r="C24" s="197">
        <f>C5+C13-C23</f>
        <v>571847</v>
      </c>
      <c r="D24" s="197">
        <f t="shared" ref="D24:S24" si="13">D5+D13-D23</f>
        <v>27882</v>
      </c>
      <c r="E24" s="197">
        <f t="shared" si="13"/>
        <v>1460051</v>
      </c>
      <c r="F24" s="197">
        <f t="shared" si="13"/>
        <v>2278609</v>
      </c>
      <c r="G24" s="197">
        <f t="shared" si="13"/>
        <v>2616751</v>
      </c>
      <c r="H24" s="197">
        <f t="shared" si="13"/>
        <v>3181749</v>
      </c>
      <c r="I24" s="197">
        <f t="shared" si="13"/>
        <v>3436912</v>
      </c>
      <c r="J24" s="197">
        <f t="shared" si="13"/>
        <v>4270564</v>
      </c>
      <c r="K24" s="197">
        <f t="shared" si="13"/>
        <v>4790151</v>
      </c>
      <c r="L24" s="197">
        <f t="shared" si="13"/>
        <v>3528811</v>
      </c>
      <c r="M24" s="197">
        <f t="shared" si="13"/>
        <v>1206491</v>
      </c>
      <c r="N24" s="197">
        <f t="shared" si="13"/>
        <v>2817279</v>
      </c>
      <c r="O24" s="197">
        <f t="shared" si="13"/>
        <v>704811</v>
      </c>
      <c r="P24" s="197">
        <f t="shared" si="13"/>
        <v>624841</v>
      </c>
      <c r="Q24" s="197">
        <f t="shared" si="13"/>
        <v>488385</v>
      </c>
      <c r="R24" s="197">
        <f t="shared" si="13"/>
        <v>460319</v>
      </c>
      <c r="S24" s="197">
        <f t="shared" si="13"/>
        <v>571847</v>
      </c>
      <c r="Y24" s="23" t="s">
        <v>29</v>
      </c>
      <c r="Z24" s="220">
        <f t="shared" ref="Z24:Z31" si="14">C15/$C$23</f>
        <v>2.6300222453546143E-2</v>
      </c>
    </row>
    <row r="25" spans="1:26" s="178" customFormat="1" x14ac:dyDescent="0.25">
      <c r="A25" s="182"/>
      <c r="B25" s="182"/>
      <c r="C25" s="182"/>
      <c r="D25" s="183">
        <f>D2+6</f>
        <v>41411</v>
      </c>
      <c r="E25" s="183">
        <f>D25+7</f>
        <v>41418</v>
      </c>
      <c r="F25" s="183">
        <f t="shared" ref="F25:S25" si="15">E25+7</f>
        <v>41425</v>
      </c>
      <c r="G25" s="183">
        <f t="shared" si="15"/>
        <v>41432</v>
      </c>
      <c r="H25" s="183">
        <f t="shared" si="15"/>
        <v>41439</v>
      </c>
      <c r="I25" s="183">
        <f t="shared" si="15"/>
        <v>41446</v>
      </c>
      <c r="J25" s="183">
        <f t="shared" si="15"/>
        <v>41453</v>
      </c>
      <c r="K25" s="183">
        <f t="shared" si="15"/>
        <v>41460</v>
      </c>
      <c r="L25" s="183">
        <f t="shared" si="15"/>
        <v>41467</v>
      </c>
      <c r="M25" s="183">
        <f t="shared" si="15"/>
        <v>41474</v>
      </c>
      <c r="N25" s="183">
        <f t="shared" si="15"/>
        <v>41481</v>
      </c>
      <c r="O25" s="183">
        <f t="shared" si="15"/>
        <v>41488</v>
      </c>
      <c r="P25" s="183">
        <f t="shared" si="15"/>
        <v>41495</v>
      </c>
      <c r="Q25" s="183">
        <f t="shared" si="15"/>
        <v>41502</v>
      </c>
      <c r="R25" s="183">
        <f t="shared" si="15"/>
        <v>41509</v>
      </c>
      <c r="S25" s="183">
        <f t="shared" si="15"/>
        <v>41516</v>
      </c>
      <c r="Y25" s="23" t="s">
        <v>30</v>
      </c>
      <c r="Z25" s="220">
        <f t="shared" si="14"/>
        <v>1.3401209874157688E-2</v>
      </c>
    </row>
    <row r="26" spans="1:26" s="178" customFormat="1" x14ac:dyDescent="0.25">
      <c r="A26" s="732" t="s">
        <v>942</v>
      </c>
      <c r="B26" s="732"/>
      <c r="C26" s="223">
        <f>C6+C7+C11</f>
        <v>5135915</v>
      </c>
      <c r="D26" s="223">
        <f t="shared" ref="D26:S26" si="16">D6+D7+D11</f>
        <v>122528</v>
      </c>
      <c r="E26" s="223">
        <f t="shared" si="16"/>
        <v>148875</v>
      </c>
      <c r="F26" s="223">
        <f t="shared" si="16"/>
        <v>652504</v>
      </c>
      <c r="G26" s="223">
        <f t="shared" si="16"/>
        <v>334810</v>
      </c>
      <c r="H26" s="223">
        <f t="shared" si="16"/>
        <v>789072</v>
      </c>
      <c r="I26" s="223">
        <f>I6+I7+I11</f>
        <v>380845</v>
      </c>
      <c r="J26" s="223">
        <f>J6+J7+J11</f>
        <v>359328</v>
      </c>
      <c r="K26" s="223">
        <f t="shared" si="16"/>
        <v>104514</v>
      </c>
      <c r="L26" s="223">
        <f t="shared" si="16"/>
        <v>357592</v>
      </c>
      <c r="M26" s="223">
        <f t="shared" si="16"/>
        <v>113301</v>
      </c>
      <c r="N26" s="223">
        <f t="shared" si="16"/>
        <v>391884</v>
      </c>
      <c r="O26" s="223">
        <f t="shared" si="16"/>
        <v>106652</v>
      </c>
      <c r="P26" s="223">
        <f t="shared" si="16"/>
        <v>525536</v>
      </c>
      <c r="Q26" s="223">
        <f t="shared" si="16"/>
        <v>111344</v>
      </c>
      <c r="R26" s="223">
        <f t="shared" si="16"/>
        <v>463606</v>
      </c>
      <c r="S26" s="223">
        <f t="shared" si="16"/>
        <v>173524</v>
      </c>
      <c r="T26" s="194"/>
      <c r="Y26" s="23" t="s">
        <v>6</v>
      </c>
      <c r="Z26" s="220">
        <f t="shared" si="14"/>
        <v>4.1296889403516009E-2</v>
      </c>
    </row>
    <row r="27" spans="1:26" s="178" customFormat="1" x14ac:dyDescent="0.25">
      <c r="A27" s="733" t="s">
        <v>943</v>
      </c>
      <c r="B27" s="733"/>
      <c r="C27" s="224">
        <f>C14+C15+C17+C18+C21</f>
        <v>3824844</v>
      </c>
      <c r="D27" s="224">
        <f t="shared" ref="D27:S27" si="17">D14+D15+D17+D18+D21</f>
        <v>250784</v>
      </c>
      <c r="E27" s="224">
        <f t="shared" si="17"/>
        <v>229842</v>
      </c>
      <c r="F27" s="224">
        <f t="shared" si="17"/>
        <v>230182</v>
      </c>
      <c r="G27" s="224">
        <f t="shared" si="17"/>
        <v>224986</v>
      </c>
      <c r="H27" s="224">
        <f t="shared" si="17"/>
        <v>224074</v>
      </c>
      <c r="I27" s="224">
        <f t="shared" si="17"/>
        <v>230114</v>
      </c>
      <c r="J27" s="224">
        <f t="shared" si="17"/>
        <v>234114</v>
      </c>
      <c r="K27" s="224">
        <f t="shared" si="17"/>
        <v>229586</v>
      </c>
      <c r="L27" s="224">
        <f t="shared" si="17"/>
        <v>213220</v>
      </c>
      <c r="M27" s="224">
        <f t="shared" si="17"/>
        <v>218344</v>
      </c>
      <c r="N27" s="224">
        <f t="shared" si="17"/>
        <v>239536</v>
      </c>
      <c r="O27" s="224">
        <f t="shared" si="17"/>
        <v>241426</v>
      </c>
      <c r="P27" s="224">
        <f t="shared" si="17"/>
        <v>255592</v>
      </c>
      <c r="Q27" s="224">
        <f t="shared" si="17"/>
        <v>258488</v>
      </c>
      <c r="R27" s="224">
        <f t="shared" si="17"/>
        <v>270292</v>
      </c>
      <c r="S27" s="224">
        <f t="shared" si="17"/>
        <v>274264</v>
      </c>
      <c r="T27" s="195"/>
      <c r="Y27" s="23" t="s">
        <v>8</v>
      </c>
      <c r="Z27" s="220">
        <f t="shared" si="14"/>
        <v>1.9371158911059987E-2</v>
      </c>
    </row>
    <row r="28" spans="1:26" x14ac:dyDescent="0.25">
      <c r="A28" s="734" t="s">
        <v>944</v>
      </c>
      <c r="B28" s="734"/>
      <c r="C28" s="212">
        <f>C26-C27</f>
        <v>1311071</v>
      </c>
      <c r="D28" s="212">
        <f t="shared" ref="D28:S28" si="18">D26-D27</f>
        <v>-128256</v>
      </c>
      <c r="E28" s="212">
        <f t="shared" si="18"/>
        <v>-80967</v>
      </c>
      <c r="F28" s="212">
        <f t="shared" si="18"/>
        <v>422322</v>
      </c>
      <c r="G28" s="212">
        <f t="shared" si="18"/>
        <v>109824</v>
      </c>
      <c r="H28" s="212">
        <f t="shared" si="18"/>
        <v>564998</v>
      </c>
      <c r="I28" s="212">
        <f t="shared" si="18"/>
        <v>150731</v>
      </c>
      <c r="J28" s="212">
        <f t="shared" si="18"/>
        <v>125214</v>
      </c>
      <c r="K28" s="212">
        <f t="shared" si="18"/>
        <v>-125072</v>
      </c>
      <c r="L28" s="212">
        <f t="shared" si="18"/>
        <v>144372</v>
      </c>
      <c r="M28" s="212">
        <f t="shared" si="18"/>
        <v>-105043</v>
      </c>
      <c r="N28" s="212">
        <f t="shared" si="18"/>
        <v>152348</v>
      </c>
      <c r="O28" s="212">
        <f t="shared" si="18"/>
        <v>-134774</v>
      </c>
      <c r="P28" s="212">
        <f t="shared" si="18"/>
        <v>269944</v>
      </c>
      <c r="Q28" s="212">
        <f t="shared" si="18"/>
        <v>-147144</v>
      </c>
      <c r="R28" s="212">
        <f t="shared" si="18"/>
        <v>193314</v>
      </c>
      <c r="S28" s="212">
        <f t="shared" si="18"/>
        <v>-100740</v>
      </c>
      <c r="T28" s="192"/>
      <c r="Y28" s="23" t="s">
        <v>50</v>
      </c>
      <c r="Z28" s="220">
        <f t="shared" si="14"/>
        <v>0.71921965223442685</v>
      </c>
    </row>
    <row r="29" spans="1:26" x14ac:dyDescent="0.25">
      <c r="A29" s="732" t="s">
        <v>945</v>
      </c>
      <c r="B29" s="732"/>
      <c r="C29" s="223">
        <f>C8+C9+C10+C12</f>
        <v>11207098</v>
      </c>
      <c r="D29" s="223">
        <f t="shared" ref="D29:S29" si="19">D8+D9+D10+D12</f>
        <v>0</v>
      </c>
      <c r="E29" s="223">
        <f t="shared" si="19"/>
        <v>1513136</v>
      </c>
      <c r="F29" s="223">
        <f t="shared" si="19"/>
        <v>396236</v>
      </c>
      <c r="G29" s="223">
        <f t="shared" si="19"/>
        <v>228318</v>
      </c>
      <c r="H29" s="223">
        <f t="shared" si="19"/>
        <v>0</v>
      </c>
      <c r="I29" s="223">
        <f t="shared" si="19"/>
        <v>104432</v>
      </c>
      <c r="J29" s="223">
        <f t="shared" si="19"/>
        <v>708438</v>
      </c>
      <c r="K29" s="223">
        <f t="shared" si="19"/>
        <v>644659</v>
      </c>
      <c r="L29" s="223">
        <f t="shared" si="19"/>
        <v>2644720</v>
      </c>
      <c r="M29" s="223">
        <f t="shared" si="19"/>
        <v>99175</v>
      </c>
      <c r="N29" s="223">
        <f t="shared" si="19"/>
        <v>2418930</v>
      </c>
      <c r="O29" s="223">
        <f t="shared" si="19"/>
        <v>1120570</v>
      </c>
      <c r="P29" s="223">
        <f t="shared" si="19"/>
        <v>465136</v>
      </c>
      <c r="Q29" s="223">
        <f t="shared" si="19"/>
        <v>10688</v>
      </c>
      <c r="R29" s="223">
        <f t="shared" si="19"/>
        <v>0</v>
      </c>
      <c r="S29" s="223">
        <f t="shared" si="19"/>
        <v>852660</v>
      </c>
      <c r="T29" s="192"/>
      <c r="Y29" s="23" t="s">
        <v>11</v>
      </c>
      <c r="Z29" s="220">
        <f t="shared" si="14"/>
        <v>3.5842697472620685E-2</v>
      </c>
    </row>
    <row r="30" spans="1:26" s="6" customFormat="1" x14ac:dyDescent="0.25">
      <c r="A30" s="733" t="s">
        <v>946</v>
      </c>
      <c r="B30" s="733"/>
      <c r="C30" s="224">
        <f>C16+C19+C20+C22</f>
        <v>12694560</v>
      </c>
      <c r="D30" s="224">
        <f t="shared" ref="D30:S30" si="20">D16+D19+D20+D22</f>
        <v>592100</v>
      </c>
      <c r="E30" s="224">
        <f t="shared" si="20"/>
        <v>0</v>
      </c>
      <c r="F30" s="224">
        <f t="shared" si="20"/>
        <v>0</v>
      </c>
      <c r="G30" s="224">
        <f t="shared" si="20"/>
        <v>0</v>
      </c>
      <c r="H30" s="224">
        <f t="shared" si="20"/>
        <v>0</v>
      </c>
      <c r="I30" s="224">
        <f t="shared" si="20"/>
        <v>0</v>
      </c>
      <c r="J30" s="224">
        <f t="shared" si="20"/>
        <v>0</v>
      </c>
      <c r="K30" s="224">
        <f t="shared" si="20"/>
        <v>0</v>
      </c>
      <c r="L30" s="224">
        <f t="shared" si="20"/>
        <v>4050432</v>
      </c>
      <c r="M30" s="224">
        <f t="shared" si="20"/>
        <v>2316452</v>
      </c>
      <c r="N30" s="224">
        <f t="shared" si="20"/>
        <v>960490</v>
      </c>
      <c r="O30" s="224">
        <f t="shared" si="20"/>
        <v>3098264</v>
      </c>
      <c r="P30" s="224">
        <f t="shared" si="20"/>
        <v>815050</v>
      </c>
      <c r="Q30" s="224">
        <f t="shared" si="20"/>
        <v>0</v>
      </c>
      <c r="R30" s="224">
        <f t="shared" si="20"/>
        <v>221380</v>
      </c>
      <c r="S30" s="224">
        <f t="shared" si="20"/>
        <v>640392</v>
      </c>
      <c r="Y30" s="23" t="s">
        <v>818</v>
      </c>
      <c r="Z30" s="220">
        <f t="shared" si="14"/>
        <v>6.5861940297603956E-3</v>
      </c>
    </row>
    <row r="31" spans="1:26" s="6" customFormat="1" x14ac:dyDescent="0.25">
      <c r="A31" s="734" t="s">
        <v>947</v>
      </c>
      <c r="B31" s="734"/>
      <c r="C31" s="212">
        <f>C29-C30</f>
        <v>-1487462</v>
      </c>
      <c r="D31" s="212">
        <f t="shared" ref="D31:S31" si="21">D29-D30</f>
        <v>-592100</v>
      </c>
      <c r="E31" s="212">
        <f t="shared" si="21"/>
        <v>1513136</v>
      </c>
      <c r="F31" s="212">
        <f t="shared" si="21"/>
        <v>396236</v>
      </c>
      <c r="G31" s="212">
        <f t="shared" si="21"/>
        <v>228318</v>
      </c>
      <c r="H31" s="212">
        <f t="shared" si="21"/>
        <v>0</v>
      </c>
      <c r="I31" s="212">
        <f t="shared" si="21"/>
        <v>104432</v>
      </c>
      <c r="J31" s="212">
        <f t="shared" si="21"/>
        <v>708438</v>
      </c>
      <c r="K31" s="212">
        <f t="shared" si="21"/>
        <v>644659</v>
      </c>
      <c r="L31" s="212">
        <f t="shared" si="21"/>
        <v>-1405712</v>
      </c>
      <c r="M31" s="212">
        <f t="shared" si="21"/>
        <v>-2217277</v>
      </c>
      <c r="N31" s="212">
        <f t="shared" si="21"/>
        <v>1458440</v>
      </c>
      <c r="O31" s="212">
        <f t="shared" si="21"/>
        <v>-1977694</v>
      </c>
      <c r="P31" s="212">
        <f t="shared" si="21"/>
        <v>-349914</v>
      </c>
      <c r="Q31" s="212">
        <f t="shared" si="21"/>
        <v>10688</v>
      </c>
      <c r="R31" s="212">
        <f t="shared" si="21"/>
        <v>-221380</v>
      </c>
      <c r="S31" s="212">
        <f t="shared" si="21"/>
        <v>212268</v>
      </c>
      <c r="Y31" s="23" t="s">
        <v>10</v>
      </c>
      <c r="Z31" s="220">
        <f t="shared" si="14"/>
        <v>0</v>
      </c>
    </row>
    <row r="32" spans="1:26" s="6" customFormat="1" ht="18.75" x14ac:dyDescent="0.3">
      <c r="A32" s="192"/>
      <c r="B32" s="192"/>
      <c r="C32" s="192"/>
      <c r="D32" s="192"/>
      <c r="E32" s="192"/>
      <c r="F32" s="192"/>
      <c r="G32" s="192"/>
      <c r="H32" s="192"/>
      <c r="I32" s="192"/>
      <c r="J32" s="192"/>
      <c r="K32" s="192"/>
      <c r="L32" s="192"/>
      <c r="M32" s="192"/>
      <c r="N32" s="192"/>
      <c r="O32" s="192"/>
      <c r="P32" s="192"/>
      <c r="Q32" s="192"/>
      <c r="R32" s="192"/>
      <c r="S32" s="192"/>
      <c r="Z32" s="221">
        <f>SUM(Z23:Z31)</f>
        <v>0.99999999999999989</v>
      </c>
    </row>
    <row r="33" spans="1:26" s="6" customFormat="1" ht="18.75" x14ac:dyDescent="0.3">
      <c r="A33" s="27"/>
      <c r="B33" s="752" t="s">
        <v>821</v>
      </c>
      <c r="C33" s="167" t="s">
        <v>819</v>
      </c>
      <c r="D33" s="189">
        <v>7769000</v>
      </c>
      <c r="E33" s="189">
        <v>7769000</v>
      </c>
      <c r="F33" s="189">
        <v>7694000</v>
      </c>
      <c r="G33" s="189">
        <v>7694000</v>
      </c>
      <c r="H33" s="189">
        <v>7694000</v>
      </c>
      <c r="I33" s="189">
        <v>7694000</v>
      </c>
      <c r="J33" s="189">
        <v>7694000</v>
      </c>
      <c r="K33" s="189">
        <v>7694000</v>
      </c>
      <c r="L33" s="189">
        <v>8006001</v>
      </c>
      <c r="M33" s="189">
        <v>10306001</v>
      </c>
      <c r="N33" s="189">
        <v>8393001</v>
      </c>
      <c r="O33" s="189">
        <v>9618001</v>
      </c>
      <c r="P33" s="189">
        <v>9618001</v>
      </c>
      <c r="Q33" s="189">
        <v>9618001</v>
      </c>
      <c r="R33" s="189">
        <v>9618001</v>
      </c>
      <c r="S33" s="189">
        <v>9618001</v>
      </c>
      <c r="Y33" s="746">
        <f>C23</f>
        <v>16519404</v>
      </c>
      <c r="Z33" s="747"/>
    </row>
    <row r="34" spans="1:26" x14ac:dyDescent="0.25">
      <c r="A34" s="27"/>
      <c r="B34" s="753"/>
      <c r="C34" s="167" t="s">
        <v>481</v>
      </c>
      <c r="D34" s="189">
        <v>8321611</v>
      </c>
      <c r="E34" s="189">
        <v>8321611</v>
      </c>
      <c r="F34" s="189">
        <v>8321611</v>
      </c>
      <c r="G34" s="189">
        <v>8321611</v>
      </c>
      <c r="H34" s="189">
        <v>8321611</v>
      </c>
      <c r="I34" s="189">
        <v>8321611</v>
      </c>
      <c r="J34" s="189">
        <v>8321611</v>
      </c>
      <c r="K34" s="189">
        <v>8321611</v>
      </c>
      <c r="L34" s="189">
        <v>9328000</v>
      </c>
      <c r="M34" s="189">
        <v>9328000</v>
      </c>
      <c r="N34" s="189">
        <v>10278000</v>
      </c>
      <c r="O34" s="189">
        <v>11553000</v>
      </c>
      <c r="P34" s="189">
        <v>11853000</v>
      </c>
      <c r="Q34" s="189">
        <v>11853000</v>
      </c>
      <c r="R34" s="189">
        <v>11853000</v>
      </c>
      <c r="S34" s="189">
        <v>11242420</v>
      </c>
    </row>
    <row r="35" spans="1:26" x14ac:dyDescent="0.25">
      <c r="A35" s="27"/>
      <c r="B35" s="753"/>
      <c r="C35" s="167" t="s">
        <v>1385</v>
      </c>
      <c r="D35" s="189">
        <v>2284091</v>
      </c>
      <c r="E35" s="189">
        <v>1697471</v>
      </c>
      <c r="F35" s="189">
        <v>1447471</v>
      </c>
      <c r="G35" s="189">
        <v>1368471</v>
      </c>
      <c r="H35" s="189">
        <v>1368471</v>
      </c>
      <c r="I35" s="189">
        <v>1274471</v>
      </c>
      <c r="J35" s="189">
        <v>646731</v>
      </c>
      <c r="K35" s="189">
        <v>166251</v>
      </c>
      <c r="L35" s="189">
        <v>71251</v>
      </c>
      <c r="M35" s="189">
        <v>45250</v>
      </c>
      <c r="N35" s="189">
        <v>45250</v>
      </c>
      <c r="O35" s="189">
        <v>45250</v>
      </c>
      <c r="P35" s="189">
        <v>45250</v>
      </c>
      <c r="Q35" s="189">
        <v>45250</v>
      </c>
      <c r="R35" s="189">
        <v>45250</v>
      </c>
      <c r="S35" s="189">
        <v>33000</v>
      </c>
    </row>
    <row r="36" spans="1:26" x14ac:dyDescent="0.25">
      <c r="A36" s="27"/>
      <c r="B36" s="754"/>
      <c r="C36" s="299" t="s">
        <v>291</v>
      </c>
      <c r="D36" s="300">
        <v>18374702</v>
      </c>
      <c r="E36" s="300">
        <v>17788082</v>
      </c>
      <c r="F36" s="300">
        <v>17463082</v>
      </c>
      <c r="G36" s="300">
        <v>17384082</v>
      </c>
      <c r="H36" s="300">
        <v>17384082</v>
      </c>
      <c r="I36" s="300">
        <v>17290082</v>
      </c>
      <c r="J36" s="300">
        <v>16662342</v>
      </c>
      <c r="K36" s="300">
        <v>16181862</v>
      </c>
      <c r="L36" s="300">
        <v>17405252</v>
      </c>
      <c r="M36" s="300">
        <v>19679251</v>
      </c>
      <c r="N36" s="300">
        <v>18716251</v>
      </c>
      <c r="O36" s="300">
        <v>21216251</v>
      </c>
      <c r="P36" s="300">
        <v>21516251</v>
      </c>
      <c r="Q36" s="300">
        <v>21516251</v>
      </c>
      <c r="R36" s="300">
        <v>21516251</v>
      </c>
      <c r="S36" s="300">
        <v>20893421</v>
      </c>
    </row>
    <row r="37" spans="1:26" x14ac:dyDescent="0.25">
      <c r="C37" s="192"/>
      <c r="D37" s="247"/>
      <c r="E37" s="247"/>
      <c r="J37"/>
      <c r="K37"/>
    </row>
    <row r="38" spans="1:26" x14ac:dyDescent="0.25">
      <c r="H38" s="419"/>
      <c r="I38" s="419"/>
      <c r="J38" s="247"/>
      <c r="K38"/>
    </row>
    <row r="39" spans="1:26" ht="15" customHeight="1" x14ac:dyDescent="0.25">
      <c r="H39" s="419"/>
      <c r="I39" s="18"/>
      <c r="J39"/>
      <c r="K39"/>
    </row>
    <row r="40" spans="1:26" ht="15" customHeight="1" x14ac:dyDescent="0.25">
      <c r="C40" s="212"/>
      <c r="H40" s="731"/>
      <c r="I40" s="731"/>
      <c r="J40" s="731"/>
      <c r="K40" s="731"/>
    </row>
    <row r="41" spans="1:26" x14ac:dyDescent="0.25">
      <c r="H41" s="419"/>
      <c r="I41" s="419"/>
      <c r="J41" s="419"/>
      <c r="K41" s="419"/>
    </row>
    <row r="42" spans="1:26" x14ac:dyDescent="0.25">
      <c r="H42" s="419"/>
      <c r="I42" s="419"/>
      <c r="J42" s="419"/>
      <c r="K42" s="419"/>
    </row>
    <row r="43" spans="1:26" x14ac:dyDescent="0.25">
      <c r="H43" s="419"/>
      <c r="I43" s="419"/>
      <c r="J43" s="419"/>
      <c r="K43" s="419"/>
    </row>
    <row r="44" spans="1:26" x14ac:dyDescent="0.25">
      <c r="H44" s="419"/>
      <c r="I44" s="419"/>
      <c r="J44" s="419"/>
      <c r="K44" s="419"/>
    </row>
    <row r="45" spans="1:26" x14ac:dyDescent="0.25">
      <c r="H45" s="419"/>
      <c r="I45" s="419"/>
      <c r="J45" s="419"/>
      <c r="K45" s="419"/>
    </row>
    <row r="46" spans="1:26" x14ac:dyDescent="0.25">
      <c r="H46" s="419"/>
      <c r="I46" s="419"/>
      <c r="J46" s="419"/>
      <c r="K46" s="419"/>
    </row>
    <row r="47" spans="1:26" x14ac:dyDescent="0.25">
      <c r="H47" s="419"/>
      <c r="I47" s="419"/>
      <c r="J47" s="419"/>
      <c r="K47" s="419"/>
    </row>
    <row r="48" spans="1:26" x14ac:dyDescent="0.25">
      <c r="H48" s="419"/>
      <c r="I48" s="419"/>
      <c r="J48" s="419"/>
      <c r="K48" s="419"/>
    </row>
    <row r="49" spans="8:11" x14ac:dyDescent="0.25">
      <c r="H49" s="727"/>
      <c r="I49" s="727"/>
      <c r="J49" s="727"/>
      <c r="K49" s="727"/>
    </row>
    <row r="50" spans="8:11" x14ac:dyDescent="0.25">
      <c r="H50" s="419"/>
      <c r="I50" s="419"/>
      <c r="J50" s="419"/>
      <c r="K50" s="419"/>
    </row>
    <row r="51" spans="8:11" x14ac:dyDescent="0.25">
      <c r="H51" s="727"/>
      <c r="I51" s="727"/>
      <c r="J51" s="727"/>
      <c r="K51" s="727"/>
    </row>
    <row r="52" spans="8:11" ht="15" customHeight="1" x14ac:dyDescent="0.25">
      <c r="H52" s="727"/>
      <c r="I52" s="727"/>
      <c r="J52" s="727"/>
      <c r="K52" s="4"/>
    </row>
  </sheetData>
  <mergeCells count="15">
    <mergeCell ref="Y33:Z33"/>
    <mergeCell ref="H40:I40"/>
    <mergeCell ref="J40:K40"/>
    <mergeCell ref="A11:A12"/>
    <mergeCell ref="Y14:Z14"/>
    <mergeCell ref="A26:B26"/>
    <mergeCell ref="A27:B27"/>
    <mergeCell ref="A28:B28"/>
    <mergeCell ref="A29:B29"/>
    <mergeCell ref="H49:K49"/>
    <mergeCell ref="H51:K51"/>
    <mergeCell ref="H52:J52"/>
    <mergeCell ref="A30:B30"/>
    <mergeCell ref="A31:B31"/>
    <mergeCell ref="B33:B36"/>
  </mergeCells>
  <pageMargins left="0.7" right="0.7" top="0.75" bottom="0.75" header="0.3" footer="0.3"/>
  <pageSetup paperSize="9" orientation="portrait" horizontalDpi="200" verticalDpi="200"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64"/>
  <sheetViews>
    <sheetView zoomScale="90" zoomScaleNormal="90" workbookViewId="0">
      <pane xSplit="9" ySplit="3" topLeftCell="J4" activePane="bottomRight" state="frozen"/>
      <selection pane="topRight" activeCell="J1" sqref="J1"/>
      <selection pane="bottomLeft" activeCell="A3" sqref="A3"/>
      <selection pane="bottomRight" activeCell="D51" sqref="D51"/>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17" bestFit="1" customWidth="1"/>
    <col min="6" max="6" width="18" style="225" bestFit="1" customWidth="1"/>
    <col min="7" max="7" width="6.5703125" style="225" bestFit="1" customWidth="1"/>
    <col min="8" max="8" width="2.85546875" customWidth="1"/>
    <col min="9" max="9" width="7.42578125" bestFit="1" customWidth="1"/>
    <col min="10" max="10" width="15" style="2" bestFit="1" customWidth="1"/>
    <col min="11" max="11" width="12.7109375" bestFit="1" customWidth="1"/>
    <col min="12" max="12" width="10" bestFit="1" customWidth="1"/>
    <col min="13" max="13" width="13.85546875" bestFit="1" customWidth="1"/>
    <col min="14" max="14" width="11.42578125" bestFit="1" customWidth="1"/>
    <col min="15" max="16" width="12.7109375" bestFit="1" customWidth="1"/>
    <col min="17" max="17" width="7.5703125" style="321" bestFit="1" customWidth="1"/>
    <col min="18" max="18" width="9" bestFit="1" customWidth="1"/>
    <col min="19" max="19" width="9.28515625" bestFit="1" customWidth="1"/>
    <col min="20" max="20" width="11" bestFit="1" customWidth="1"/>
  </cols>
  <sheetData>
    <row r="1" spans="2:20" ht="9" customHeight="1" x14ac:dyDescent="0.25"/>
    <row r="2" spans="2:20" ht="21" x14ac:dyDescent="0.35">
      <c r="B2" s="735" t="s">
        <v>1583</v>
      </c>
      <c r="C2" s="736"/>
      <c r="D2" s="736"/>
      <c r="E2" s="736"/>
      <c r="F2" s="736"/>
      <c r="G2" s="757"/>
      <c r="I2" s="758" t="s">
        <v>1293</v>
      </c>
      <c r="J2" s="758"/>
      <c r="K2" s="758"/>
      <c r="L2" s="758"/>
      <c r="M2" s="758"/>
      <c r="N2" s="758"/>
      <c r="O2" s="758"/>
      <c r="P2" s="758"/>
      <c r="Q2" s="758"/>
      <c r="R2" s="758"/>
      <c r="S2" s="758"/>
      <c r="T2" s="758"/>
    </row>
    <row r="3" spans="2:20" x14ac:dyDescent="0.25">
      <c r="B3" s="755" t="s">
        <v>1025</v>
      </c>
      <c r="C3" s="749"/>
      <c r="D3" s="749"/>
      <c r="E3" s="749"/>
      <c r="F3" s="749"/>
      <c r="G3" s="756"/>
      <c r="I3" s="346" t="s">
        <v>36</v>
      </c>
      <c r="J3" s="17" t="s">
        <v>481</v>
      </c>
      <c r="K3" s="17" t="s">
        <v>50</v>
      </c>
      <c r="L3" s="17" t="s">
        <v>1332</v>
      </c>
      <c r="M3" s="17" t="s">
        <v>879</v>
      </c>
      <c r="N3" s="17" t="s">
        <v>1333</v>
      </c>
      <c r="O3" s="17" t="s">
        <v>950</v>
      </c>
      <c r="P3" s="17" t="s">
        <v>1336</v>
      </c>
      <c r="Q3" s="406" t="s">
        <v>1326</v>
      </c>
      <c r="R3" s="345" t="s">
        <v>1337</v>
      </c>
      <c r="S3" s="345" t="s">
        <v>1334</v>
      </c>
      <c r="T3" s="345" t="s">
        <v>1335</v>
      </c>
    </row>
    <row r="4" spans="2:20" ht="18.75" x14ac:dyDescent="0.3">
      <c r="B4" s="737" t="s">
        <v>948</v>
      </c>
      <c r="C4" s="738"/>
      <c r="D4" s="268"/>
      <c r="E4" s="739" t="s">
        <v>949</v>
      </c>
      <c r="F4" s="738"/>
      <c r="G4" s="268"/>
      <c r="I4" s="187" t="s">
        <v>1006</v>
      </c>
      <c r="J4" s="336" t="s">
        <v>1243</v>
      </c>
      <c r="K4" s="333">
        <v>1450000</v>
      </c>
      <c r="L4" s="333"/>
      <c r="M4" s="333">
        <v>0</v>
      </c>
      <c r="N4" s="333">
        <v>0</v>
      </c>
      <c r="O4" s="343">
        <f t="shared" ref="O4:O39" si="0">IF(M4=0,0,M4-K4)-N4</f>
        <v>0</v>
      </c>
      <c r="P4" s="333">
        <f t="shared" ref="P4:P37" si="1">IF(M4=0,K4,0)</f>
        <v>1450000</v>
      </c>
      <c r="Q4" s="403"/>
      <c r="R4" s="347">
        <v>41179</v>
      </c>
      <c r="S4" s="347"/>
      <c r="T4" s="344"/>
    </row>
    <row r="5" spans="2:20" x14ac:dyDescent="0.25">
      <c r="B5" s="243"/>
      <c r="C5" s="244"/>
      <c r="D5" s="423"/>
      <c r="E5" s="243"/>
      <c r="F5" s="244"/>
      <c r="G5" s="269"/>
      <c r="I5" s="334" t="s">
        <v>1006</v>
      </c>
      <c r="J5" s="337" t="s">
        <v>1143</v>
      </c>
      <c r="K5" s="335">
        <v>628111</v>
      </c>
      <c r="L5" s="335"/>
      <c r="M5" s="335">
        <v>275000</v>
      </c>
      <c r="N5" s="335">
        <f>M5-255750</f>
        <v>19250</v>
      </c>
      <c r="O5" s="335">
        <f t="shared" si="0"/>
        <v>-372361</v>
      </c>
      <c r="P5" s="335">
        <f t="shared" si="1"/>
        <v>0</v>
      </c>
      <c r="Q5" s="405">
        <f t="shared" ref="Q5" si="2">O5/K5</f>
        <v>-0.59282674559114557</v>
      </c>
      <c r="R5" s="348">
        <v>41078</v>
      </c>
      <c r="S5" s="348">
        <v>41463</v>
      </c>
      <c r="T5" s="353">
        <f>O5/((S5-R5)/7)</f>
        <v>-6770.2</v>
      </c>
    </row>
    <row r="6" spans="2:20" x14ac:dyDescent="0.25">
      <c r="B6" s="226" t="s">
        <v>951</v>
      </c>
      <c r="C6" s="242">
        <f>SUM(C7:C9)</f>
        <v>2756575</v>
      </c>
      <c r="D6" s="304">
        <f>C6/$C$34</f>
        <v>6.7954753645267194E-2</v>
      </c>
      <c r="E6" s="226" t="s">
        <v>1329</v>
      </c>
      <c r="F6" s="242">
        <f>F7+F8+F9</f>
        <v>21874707</v>
      </c>
      <c r="G6" s="271">
        <f>F6/$F$34</f>
        <v>0.53925263243242139</v>
      </c>
      <c r="I6" s="408" t="s">
        <v>1006</v>
      </c>
      <c r="J6" s="337" t="s">
        <v>1039</v>
      </c>
      <c r="K6" s="335">
        <v>500000</v>
      </c>
      <c r="L6" s="335"/>
      <c r="M6" s="335">
        <v>405000</v>
      </c>
      <c r="N6" s="335">
        <f>M6-376650</f>
        <v>28350</v>
      </c>
      <c r="O6" s="335">
        <f t="shared" si="0"/>
        <v>-123350</v>
      </c>
      <c r="P6" s="335">
        <f t="shared" si="1"/>
        <v>0</v>
      </c>
      <c r="Q6" s="405">
        <f t="shared" ref="Q6" si="3">O6/K6</f>
        <v>-0.2467</v>
      </c>
      <c r="R6" s="348">
        <v>41066</v>
      </c>
      <c r="S6" s="348">
        <v>41489</v>
      </c>
      <c r="T6" s="353">
        <f>O6/((S6-R6)/7)</f>
        <v>-2041.2529550827423</v>
      </c>
    </row>
    <row r="7" spans="2:20" x14ac:dyDescent="0.25">
      <c r="B7" s="249" t="s">
        <v>30</v>
      </c>
      <c r="C7" s="250">
        <f>'A-P_T39'!C7+EconomiaT40!C16</f>
        <v>2164475</v>
      </c>
      <c r="D7" s="424">
        <f>C7/$C$34</f>
        <v>5.3358376026895596E-2</v>
      </c>
      <c r="E7" s="425" t="s">
        <v>1029</v>
      </c>
      <c r="F7" s="237">
        <v>300000</v>
      </c>
      <c r="G7" s="272">
        <f>F7/$F$34</f>
        <v>7.3955637316525614E-3</v>
      </c>
      <c r="I7" s="187" t="s">
        <v>1004</v>
      </c>
      <c r="J7" s="336" t="s">
        <v>1015</v>
      </c>
      <c r="K7" s="333">
        <v>101001</v>
      </c>
      <c r="L7" s="333"/>
      <c r="M7" s="333">
        <v>0</v>
      </c>
      <c r="N7" s="333">
        <v>0</v>
      </c>
      <c r="O7" s="343">
        <f t="shared" si="0"/>
        <v>0</v>
      </c>
      <c r="P7" s="333">
        <f t="shared" si="1"/>
        <v>101001</v>
      </c>
      <c r="Q7" s="403"/>
      <c r="R7" s="347">
        <v>40956</v>
      </c>
      <c r="S7" s="347"/>
      <c r="T7" s="344"/>
    </row>
    <row r="8" spans="2:20" x14ac:dyDescent="0.25">
      <c r="B8" s="249" t="s">
        <v>11</v>
      </c>
      <c r="C8" s="250">
        <f>'A-P_T39'!C8+EconomiaT40!C20</f>
        <v>1400772</v>
      </c>
      <c r="D8" s="424">
        <f>C8/$C$34</f>
        <v>3.4531661998381404E-2</v>
      </c>
      <c r="E8" s="425" t="s">
        <v>1602</v>
      </c>
      <c r="F8" s="237">
        <f>'A-P_T39'!F9+'A-P_T39'!F8</f>
        <v>16514612</v>
      </c>
      <c r="G8" s="272">
        <f>F8/$F$34</f>
        <v>0.40711621849838059</v>
      </c>
      <c r="I8" s="11" t="s">
        <v>1003</v>
      </c>
      <c r="J8" s="17" t="s">
        <v>1017</v>
      </c>
      <c r="K8" s="15">
        <v>0</v>
      </c>
      <c r="L8" s="15"/>
      <c r="M8" s="15">
        <v>0</v>
      </c>
      <c r="N8" s="15">
        <v>0</v>
      </c>
      <c r="O8" s="278">
        <f t="shared" si="0"/>
        <v>0</v>
      </c>
      <c r="P8" s="15">
        <f t="shared" si="1"/>
        <v>0</v>
      </c>
      <c r="Q8" s="404"/>
      <c r="R8" s="349"/>
      <c r="S8" s="349"/>
      <c r="T8" s="351"/>
    </row>
    <row r="9" spans="2:20" x14ac:dyDescent="0.25">
      <c r="B9" s="245" t="s">
        <v>1026</v>
      </c>
      <c r="C9" s="248">
        <f>('A-P_T39'!C8)*-1</f>
        <v>-808672</v>
      </c>
      <c r="D9" s="424">
        <f>C9/$C$34</f>
        <v>-1.9935284380009802E-2</v>
      </c>
      <c r="E9" s="425" t="s">
        <v>1603</v>
      </c>
      <c r="F9" s="237">
        <f>'A-P_T39'!F11+247251-972</f>
        <v>5060095</v>
      </c>
      <c r="G9" s="272">
        <f>F9/$F$34</f>
        <v>0.12474085020238823</v>
      </c>
      <c r="I9" s="11" t="s">
        <v>1003</v>
      </c>
      <c r="J9" s="17" t="s">
        <v>1247</v>
      </c>
      <c r="K9" s="15">
        <v>0</v>
      </c>
      <c r="L9" s="15"/>
      <c r="M9" s="15">
        <v>0</v>
      </c>
      <c r="N9" s="15">
        <v>0</v>
      </c>
      <c r="O9" s="278">
        <f t="shared" si="0"/>
        <v>0</v>
      </c>
      <c r="P9" s="15">
        <f t="shared" si="1"/>
        <v>0</v>
      </c>
      <c r="Q9" s="404"/>
      <c r="R9" s="349"/>
      <c r="S9" s="349"/>
      <c r="T9" s="351"/>
    </row>
    <row r="10" spans="2:20" x14ac:dyDescent="0.25">
      <c r="B10" s="228"/>
      <c r="C10" s="227"/>
      <c r="D10" s="304"/>
      <c r="E10" s="426"/>
      <c r="F10" s="227"/>
      <c r="G10" s="271"/>
      <c r="I10" s="334" t="s">
        <v>1006</v>
      </c>
      <c r="J10" s="337" t="s">
        <v>1249</v>
      </c>
      <c r="K10" s="335">
        <v>1244000</v>
      </c>
      <c r="L10" s="335"/>
      <c r="M10" s="335">
        <v>775000</v>
      </c>
      <c r="N10" s="335">
        <f>M10-720750</f>
        <v>54250</v>
      </c>
      <c r="O10" s="335">
        <f t="shared" si="0"/>
        <v>-523250</v>
      </c>
      <c r="P10" s="335">
        <f t="shared" si="1"/>
        <v>0</v>
      </c>
      <c r="Q10" s="405">
        <f t="shared" ref="Q10" si="4">O10/K10</f>
        <v>-0.42061897106109325</v>
      </c>
      <c r="R10" s="348">
        <v>41201</v>
      </c>
      <c r="S10" s="348">
        <v>41509</v>
      </c>
      <c r="T10" s="353">
        <f>O10/((S10-R10)/7)</f>
        <v>-11892.045454545454</v>
      </c>
    </row>
    <row r="11" spans="2:20" x14ac:dyDescent="0.25">
      <c r="B11" s="226" t="s">
        <v>481</v>
      </c>
      <c r="C11" s="242">
        <f>SUM(C12:C15)</f>
        <v>20893421</v>
      </c>
      <c r="D11" s="304">
        <f>C11/$C$34</f>
        <v>0.51506208859249336</v>
      </c>
      <c r="E11" s="226" t="s">
        <v>950</v>
      </c>
      <c r="F11" s="242">
        <f>SUM(F12:F17)</f>
        <v>2259408</v>
      </c>
      <c r="G11" s="271">
        <f t="shared" ref="G11:G17" si="5">F11/$F$34</f>
        <v>5.5698652866018834E-2</v>
      </c>
      <c r="I11" s="34" t="s">
        <v>1198</v>
      </c>
      <c r="J11" s="345" t="s">
        <v>1584</v>
      </c>
      <c r="K11" s="278">
        <v>458000</v>
      </c>
      <c r="L11" s="278"/>
      <c r="M11" s="278">
        <v>0</v>
      </c>
      <c r="N11" s="278">
        <v>0</v>
      </c>
      <c r="O11" s="278">
        <f t="shared" si="0"/>
        <v>0</v>
      </c>
      <c r="P11" s="278">
        <v>0</v>
      </c>
      <c r="Q11" s="404"/>
      <c r="R11" s="352"/>
      <c r="S11" s="352"/>
      <c r="T11" s="351"/>
    </row>
    <row r="12" spans="2:20" x14ac:dyDescent="0.25">
      <c r="B12" s="231" t="s">
        <v>1381</v>
      </c>
      <c r="C12" s="232">
        <f>SUMIF(I4:I89,"S",$P$4:$P$89)</f>
        <v>33000</v>
      </c>
      <c r="D12" s="424">
        <f>C12/$C$34</f>
        <v>8.1351201048178174E-4</v>
      </c>
      <c r="E12" s="339" t="s">
        <v>1194</v>
      </c>
      <c r="F12" s="340">
        <f>SUMIF(I4:I89,"J",$O$4:$O$89)</f>
        <v>-1018301</v>
      </c>
      <c r="G12" s="272">
        <f t="shared" si="5"/>
        <v>-2.5103033145018449E-2</v>
      </c>
      <c r="I12" s="187" t="s">
        <v>1006</v>
      </c>
      <c r="J12" s="336" t="s">
        <v>1268</v>
      </c>
      <c r="K12" s="333">
        <v>867000</v>
      </c>
      <c r="L12" s="333"/>
      <c r="M12" s="333">
        <v>0</v>
      </c>
      <c r="N12" s="333">
        <v>0</v>
      </c>
      <c r="O12" s="343">
        <f t="shared" si="0"/>
        <v>0</v>
      </c>
      <c r="P12" s="333">
        <f t="shared" si="1"/>
        <v>867000</v>
      </c>
      <c r="Q12" s="403"/>
      <c r="R12" s="347">
        <v>41266</v>
      </c>
      <c r="S12" s="347"/>
      <c r="T12" s="344"/>
    </row>
    <row r="13" spans="2:20" x14ac:dyDescent="0.25">
      <c r="B13" s="231" t="s">
        <v>481</v>
      </c>
      <c r="C13" s="232">
        <f>SUMIF(I4:I89,"J",$P$4:$P$89)</f>
        <v>11242420</v>
      </c>
      <c r="D13" s="424">
        <f>C13/$C$34</f>
        <v>0.2771467786933513</v>
      </c>
      <c r="E13" s="339" t="s">
        <v>1382</v>
      </c>
      <c r="F13" s="340">
        <f>SUMIF(I4:I89,"S",$O$4:$O$89)</f>
        <v>142164</v>
      </c>
      <c r="G13" s="272">
        <f t="shared" si="5"/>
        <v>3.504609741155516E-3</v>
      </c>
      <c r="I13" s="187" t="s">
        <v>1004</v>
      </c>
      <c r="J13" s="336" t="s">
        <v>1291</v>
      </c>
      <c r="K13" s="333">
        <v>1300000</v>
      </c>
      <c r="L13" s="333"/>
      <c r="M13" s="333">
        <v>0</v>
      </c>
      <c r="N13" s="333">
        <v>0</v>
      </c>
      <c r="O13" s="343">
        <f t="shared" si="0"/>
        <v>0</v>
      </c>
      <c r="P13" s="333">
        <f t="shared" si="1"/>
        <v>1300000</v>
      </c>
      <c r="Q13" s="403"/>
      <c r="R13" s="347">
        <v>41282</v>
      </c>
      <c r="S13" s="347"/>
      <c r="T13" s="344"/>
    </row>
    <row r="14" spans="2:20" x14ac:dyDescent="0.25">
      <c r="B14" s="231" t="s">
        <v>819</v>
      </c>
      <c r="C14" s="232">
        <f>SUMIF(I4:I89,"E",$P$4:$P$89)</f>
        <v>9618001</v>
      </c>
      <c r="D14" s="424">
        <f>C14/$C$34</f>
        <v>0.23710179788866023</v>
      </c>
      <c r="E14" s="339" t="s">
        <v>1195</v>
      </c>
      <c r="F14" s="340">
        <f>SUMIF(I4:I89,"C",$O$4:$O$89)</f>
        <v>565060</v>
      </c>
      <c r="G14" s="272">
        <f t="shared" si="5"/>
        <v>1.3929790807358655E-2</v>
      </c>
      <c r="I14" s="334" t="s">
        <v>1004</v>
      </c>
      <c r="J14" s="337" t="s">
        <v>1322</v>
      </c>
      <c r="K14" s="335">
        <v>1913000</v>
      </c>
      <c r="L14" s="335"/>
      <c r="M14" s="335">
        <v>2601000</v>
      </c>
      <c r="N14" s="335">
        <f>M14-2418932</f>
        <v>182068</v>
      </c>
      <c r="O14" s="335">
        <f t="shared" si="0"/>
        <v>505932</v>
      </c>
      <c r="P14" s="335">
        <f t="shared" si="1"/>
        <v>0</v>
      </c>
      <c r="Q14" s="405">
        <f t="shared" ref="Q14" si="6">O14/K14</f>
        <v>0.26447046523784634</v>
      </c>
      <c r="R14" s="348">
        <v>41309</v>
      </c>
      <c r="S14" s="348">
        <v>41475</v>
      </c>
      <c r="T14" s="353">
        <f>O14/((S14-R14)/7)</f>
        <v>21334.481927710844</v>
      </c>
    </row>
    <row r="15" spans="2:20" x14ac:dyDescent="0.25">
      <c r="B15" s="231" t="s">
        <v>997</v>
      </c>
      <c r="C15" s="232">
        <f>SUMIF(I4:I89,"M",$P$4:$P$89)</f>
        <v>0</v>
      </c>
      <c r="D15" s="424">
        <f>C15/$C$34</f>
        <v>0</v>
      </c>
      <c r="E15" s="339" t="s">
        <v>1196</v>
      </c>
      <c r="F15" s="340">
        <f>SUMIF(I4:I89,"E",$O$4:$O$89)</f>
        <v>1335546</v>
      </c>
      <c r="G15" s="272">
        <f t="shared" si="5"/>
        <v>3.292371853184551E-2</v>
      </c>
      <c r="I15" s="187" t="s">
        <v>1006</v>
      </c>
      <c r="J15" s="336" t="s">
        <v>1323</v>
      </c>
      <c r="K15" s="333">
        <v>850000</v>
      </c>
      <c r="L15" s="333"/>
      <c r="M15" s="333">
        <v>0</v>
      </c>
      <c r="N15" s="333">
        <v>0</v>
      </c>
      <c r="O15" s="343">
        <f t="shared" si="0"/>
        <v>0</v>
      </c>
      <c r="P15" s="333">
        <f t="shared" si="1"/>
        <v>850000</v>
      </c>
      <c r="Q15" s="403"/>
      <c r="R15" s="347">
        <v>41309</v>
      </c>
      <c r="S15" s="347"/>
      <c r="T15" s="344"/>
    </row>
    <row r="16" spans="2:20" x14ac:dyDescent="0.25">
      <c r="B16" s="235"/>
      <c r="C16" s="236"/>
      <c r="D16" s="304"/>
      <c r="E16" s="339" t="s">
        <v>1197</v>
      </c>
      <c r="F16" s="340">
        <f>SUMIF(I4:I89,"M",$O$4:$O$89)</f>
        <v>734231</v>
      </c>
      <c r="G16" s="272">
        <f t="shared" si="5"/>
        <v>1.8100173847516641E-2</v>
      </c>
      <c r="I16" s="187" t="s">
        <v>1004</v>
      </c>
      <c r="J16" s="336" t="s">
        <v>1324</v>
      </c>
      <c r="K16" s="333">
        <v>2100000</v>
      </c>
      <c r="L16" s="333"/>
      <c r="M16" s="333">
        <v>0</v>
      </c>
      <c r="N16" s="333">
        <v>0</v>
      </c>
      <c r="O16" s="343">
        <f t="shared" si="0"/>
        <v>0</v>
      </c>
      <c r="P16" s="333">
        <f t="shared" si="1"/>
        <v>2100000</v>
      </c>
      <c r="Q16" s="403"/>
      <c r="R16" s="347">
        <v>41316</v>
      </c>
      <c r="S16" s="347"/>
      <c r="T16" s="344"/>
    </row>
    <row r="17" spans="2:20" x14ac:dyDescent="0.25">
      <c r="B17" s="226" t="s">
        <v>48</v>
      </c>
      <c r="C17" s="260">
        <f>C18+C19</f>
        <v>11032401</v>
      </c>
      <c r="D17" s="304">
        <f>C17/$C$34</f>
        <v>0.27196941569549149</v>
      </c>
      <c r="E17" s="341" t="s">
        <v>1596</v>
      </c>
      <c r="F17" s="342">
        <f>'A-P_T40'!C9+C22-F27+EconomiaT40!C24-EconomiaT40!C5</f>
        <v>500708</v>
      </c>
      <c r="G17" s="272">
        <f t="shared" si="5"/>
        <v>1.2343393083160969E-2</v>
      </c>
      <c r="I17" s="187" t="s">
        <v>1006</v>
      </c>
      <c r="J17" s="336" t="s">
        <v>1325</v>
      </c>
      <c r="K17" s="333">
        <v>761000</v>
      </c>
      <c r="L17" s="333"/>
      <c r="M17" s="333">
        <v>0</v>
      </c>
      <c r="N17" s="333">
        <v>0</v>
      </c>
      <c r="O17" s="343">
        <f t="shared" si="0"/>
        <v>0</v>
      </c>
      <c r="P17" s="333">
        <f t="shared" si="1"/>
        <v>761000</v>
      </c>
      <c r="Q17" s="403"/>
      <c r="R17" s="347">
        <v>41323</v>
      </c>
      <c r="S17" s="347"/>
      <c r="T17" s="344"/>
    </row>
    <row r="18" spans="2:20" x14ac:dyDescent="0.25">
      <c r="B18" s="231" t="s">
        <v>48</v>
      </c>
      <c r="C18" s="232">
        <f>SUM(M4:M61)</f>
        <v>12015780</v>
      </c>
      <c r="D18" s="424">
        <f>C18/$C$34</f>
        <v>0.29621155591838738</v>
      </c>
      <c r="E18" s="228"/>
      <c r="F18" s="227"/>
      <c r="G18" s="270"/>
      <c r="I18" s="187" t="s">
        <v>1006</v>
      </c>
      <c r="J18" s="336" t="s">
        <v>1338</v>
      </c>
      <c r="K18" s="333">
        <v>404000</v>
      </c>
      <c r="L18" s="333"/>
      <c r="M18" s="333">
        <v>0</v>
      </c>
      <c r="N18" s="333">
        <v>0</v>
      </c>
      <c r="O18" s="343">
        <f t="shared" si="0"/>
        <v>0</v>
      </c>
      <c r="P18" s="333">
        <f t="shared" si="1"/>
        <v>404000</v>
      </c>
      <c r="Q18" s="403"/>
      <c r="R18" s="347">
        <v>41325</v>
      </c>
      <c r="S18" s="347"/>
      <c r="T18" s="344"/>
    </row>
    <row r="19" spans="2:20" x14ac:dyDescent="0.25">
      <c r="B19" s="245" t="s">
        <v>5</v>
      </c>
      <c r="C19" s="248">
        <f>SUM(N4:N66)*-1</f>
        <v>-983379</v>
      </c>
      <c r="D19" s="424">
        <f>C19/$C$34</f>
        <v>-2.4242140222895881E-2</v>
      </c>
      <c r="E19" s="226" t="s">
        <v>1034</v>
      </c>
      <c r="F19" s="260">
        <f>F20+F21</f>
        <v>11792420</v>
      </c>
      <c r="G19" s="271">
        <f>F19/$F$34</f>
        <v>0.29070531220138102</v>
      </c>
      <c r="I19" s="187" t="s">
        <v>1006</v>
      </c>
      <c r="J19" s="336" t="s">
        <v>1339</v>
      </c>
      <c r="K19" s="333">
        <v>785000</v>
      </c>
      <c r="L19" s="333"/>
      <c r="M19" s="333">
        <v>0</v>
      </c>
      <c r="N19" s="333">
        <v>0</v>
      </c>
      <c r="O19" s="343">
        <f t="shared" si="0"/>
        <v>0</v>
      </c>
      <c r="P19" s="333">
        <f t="shared" si="1"/>
        <v>785000</v>
      </c>
      <c r="Q19" s="403"/>
      <c r="R19" s="347">
        <v>41325</v>
      </c>
      <c r="S19" s="347"/>
      <c r="T19" s="344"/>
    </row>
    <row r="20" spans="2:20" x14ac:dyDescent="0.25">
      <c r="B20" s="235"/>
      <c r="C20" s="236"/>
      <c r="D20" s="424"/>
      <c r="E20" s="307" t="s">
        <v>50</v>
      </c>
      <c r="F20" s="427">
        <f>EconomiaT40!C19</f>
        <v>11881080</v>
      </c>
      <c r="G20" s="272">
        <f>F20/$F$34</f>
        <v>0.29289094780287539</v>
      </c>
      <c r="I20" s="11" t="s">
        <v>1003</v>
      </c>
      <c r="J20" s="17" t="s">
        <v>1340</v>
      </c>
      <c r="K20" s="15">
        <v>0</v>
      </c>
      <c r="L20" s="15"/>
      <c r="M20" s="15">
        <v>0</v>
      </c>
      <c r="N20" s="15">
        <v>0</v>
      </c>
      <c r="O20" s="278">
        <f t="shared" si="0"/>
        <v>0</v>
      </c>
      <c r="P20" s="15">
        <f t="shared" si="1"/>
        <v>0</v>
      </c>
      <c r="Q20" s="404"/>
      <c r="R20" s="349">
        <v>41321</v>
      </c>
      <c r="S20" s="349"/>
      <c r="T20" s="351"/>
    </row>
    <row r="21" spans="2:20" x14ac:dyDescent="0.25">
      <c r="B21" s="235"/>
      <c r="C21" s="236"/>
      <c r="D21" s="304"/>
      <c r="E21" s="245" t="s">
        <v>1140</v>
      </c>
      <c r="F21" s="238">
        <f>SUM(L4:L65)*-1</f>
        <v>-88660</v>
      </c>
      <c r="G21" s="272">
        <f>F21/$F$34</f>
        <v>-2.1856356014943869E-3</v>
      </c>
      <c r="I21" s="334" t="s">
        <v>1006</v>
      </c>
      <c r="J21" s="337" t="s">
        <v>1342</v>
      </c>
      <c r="K21" s="335">
        <v>382500</v>
      </c>
      <c r="L21" s="335"/>
      <c r="M21" s="335">
        <v>412000</v>
      </c>
      <c r="N21" s="335">
        <f>M21-383160</f>
        <v>28840</v>
      </c>
      <c r="O21" s="335">
        <f t="shared" si="0"/>
        <v>660</v>
      </c>
      <c r="P21" s="335">
        <f t="shared" si="1"/>
        <v>0</v>
      </c>
      <c r="Q21" s="405">
        <f t="shared" ref="Q21" si="7">O21/K21</f>
        <v>1.7254901960784314E-3</v>
      </c>
      <c r="R21" s="348">
        <v>41332</v>
      </c>
      <c r="S21" s="348">
        <v>41463</v>
      </c>
      <c r="T21" s="353">
        <f>O21/((S21-R21)/7)</f>
        <v>35.267175572519079</v>
      </c>
    </row>
    <row r="22" spans="2:20" x14ac:dyDescent="0.25">
      <c r="B22" s="226" t="s">
        <v>1328</v>
      </c>
      <c r="C22" s="242">
        <f>SUM(C23:C27)</f>
        <v>5310615</v>
      </c>
      <c r="D22" s="304">
        <f t="shared" ref="D22:D27" si="8">C22/$C$34</f>
        <v>0.13091663895590022</v>
      </c>
      <c r="E22" s="228"/>
      <c r="F22" s="227"/>
      <c r="G22" s="270"/>
      <c r="I22" s="334" t="s">
        <v>1383</v>
      </c>
      <c r="J22" s="337" t="s">
        <v>1386</v>
      </c>
      <c r="K22" s="335">
        <v>12250</v>
      </c>
      <c r="L22" s="335"/>
      <c r="M22" s="335">
        <v>89000</v>
      </c>
      <c r="N22" s="335">
        <f>M22-82770</f>
        <v>6230</v>
      </c>
      <c r="O22" s="335">
        <f t="shared" si="0"/>
        <v>70520</v>
      </c>
      <c r="P22" s="335">
        <f t="shared" si="1"/>
        <v>0</v>
      </c>
      <c r="Q22" s="405">
        <f t="shared" ref="Q22" si="9">O22/K22</f>
        <v>5.7567346938775508</v>
      </c>
      <c r="R22" s="348">
        <v>41343</v>
      </c>
      <c r="S22" s="348">
        <v>41509</v>
      </c>
      <c r="T22" s="353">
        <f>O22/((S22-R22)/7)</f>
        <v>2973.734939759036</v>
      </c>
    </row>
    <row r="23" spans="2:20" x14ac:dyDescent="0.25">
      <c r="B23" s="233" t="s">
        <v>42</v>
      </c>
      <c r="C23" s="234">
        <f>EconomiaT40!C11</f>
        <v>60150</v>
      </c>
      <c r="D23" s="424">
        <f t="shared" si="8"/>
        <v>1.4828105281963387E-3</v>
      </c>
      <c r="E23" s="429" t="s">
        <v>1600</v>
      </c>
      <c r="F23" s="242">
        <f>F24+F25</f>
        <v>813480</v>
      </c>
      <c r="G23" s="271">
        <f>F23/$F$34</f>
        <v>2.0053810614749087E-2</v>
      </c>
      <c r="I23" s="408" t="s">
        <v>1383</v>
      </c>
      <c r="J23" s="409" t="s">
        <v>1387</v>
      </c>
      <c r="K23" s="410">
        <v>26001</v>
      </c>
      <c r="L23" s="410"/>
      <c r="M23" s="410">
        <v>104995</v>
      </c>
      <c r="N23" s="410">
        <f>M23-97645</f>
        <v>7350</v>
      </c>
      <c r="O23" s="410">
        <f t="shared" si="0"/>
        <v>71644</v>
      </c>
      <c r="P23" s="410">
        <f t="shared" si="1"/>
        <v>0</v>
      </c>
      <c r="Q23" s="405">
        <f t="shared" ref="Q23" si="10">O23/K23</f>
        <v>2.7554324833660244</v>
      </c>
      <c r="R23" s="412">
        <v>41342</v>
      </c>
      <c r="S23" s="412">
        <v>41472</v>
      </c>
      <c r="T23" s="353">
        <f>O23/((S23-R23)/7)</f>
        <v>3857.7538461538456</v>
      </c>
    </row>
    <row r="24" spans="2:20" x14ac:dyDescent="0.25">
      <c r="B24" s="233" t="s">
        <v>51</v>
      </c>
      <c r="C24" s="234">
        <f>EconomiaT40!C12</f>
        <v>45000</v>
      </c>
      <c r="D24" s="424">
        <f t="shared" si="8"/>
        <v>1.1093345597478843E-3</v>
      </c>
      <c r="E24" s="307" t="s">
        <v>30</v>
      </c>
      <c r="F24" s="428">
        <f>EconomiaT40!C16</f>
        <v>221380</v>
      </c>
      <c r="G24" s="272">
        <f>F24/$F$34</f>
        <v>5.4574329963774804E-3</v>
      </c>
      <c r="I24" s="11" t="s">
        <v>1003</v>
      </c>
      <c r="J24" s="17" t="s">
        <v>1388</v>
      </c>
      <c r="K24" s="15">
        <v>0</v>
      </c>
      <c r="L24" s="15"/>
      <c r="M24" s="15">
        <v>0</v>
      </c>
      <c r="N24" s="15">
        <v>0</v>
      </c>
      <c r="O24" s="278">
        <f t="shared" si="0"/>
        <v>0</v>
      </c>
      <c r="P24" s="15">
        <f t="shared" si="1"/>
        <v>0</v>
      </c>
      <c r="Q24" s="404"/>
      <c r="R24" s="349">
        <v>41321</v>
      </c>
      <c r="S24" s="349"/>
      <c r="T24" s="351"/>
    </row>
    <row r="25" spans="2:20" x14ac:dyDescent="0.25">
      <c r="B25" s="233" t="s">
        <v>0</v>
      </c>
      <c r="C25" s="234">
        <f>EconomiaT40!C6</f>
        <v>3519650</v>
      </c>
      <c r="D25" s="424">
        <f t="shared" si="8"/>
        <v>8.6765986293703135E-2</v>
      </c>
      <c r="E25" s="307" t="s">
        <v>11</v>
      </c>
      <c r="F25" s="428">
        <f>EconomiaT40!C20</f>
        <v>592100</v>
      </c>
      <c r="G25" s="272">
        <f>F25/$F$34</f>
        <v>1.4596377618371606E-2</v>
      </c>
      <c r="I25" s="187" t="s">
        <v>1383</v>
      </c>
      <c r="J25" s="336" t="s">
        <v>1487</v>
      </c>
      <c r="K25" s="333">
        <v>13000</v>
      </c>
      <c r="L25" s="333"/>
      <c r="M25" s="333">
        <v>0</v>
      </c>
      <c r="N25" s="333">
        <v>0</v>
      </c>
      <c r="O25" s="343">
        <f t="shared" si="0"/>
        <v>0</v>
      </c>
      <c r="P25" s="333">
        <f t="shared" si="1"/>
        <v>13000</v>
      </c>
      <c r="Q25" s="403"/>
      <c r="R25" s="347">
        <v>41348</v>
      </c>
      <c r="S25" s="347"/>
      <c r="T25" s="344"/>
    </row>
    <row r="26" spans="2:20" x14ac:dyDescent="0.25">
      <c r="B26" s="233" t="s">
        <v>2</v>
      </c>
      <c r="C26" s="234">
        <f>EconomiaT40!C7</f>
        <v>1556115</v>
      </c>
      <c r="D26" s="424">
        <f t="shared" si="8"/>
        <v>3.8361158854268419E-2</v>
      </c>
      <c r="E26" s="226"/>
      <c r="F26" s="242"/>
      <c r="G26" s="271"/>
      <c r="I26" s="187" t="s">
        <v>1383</v>
      </c>
      <c r="J26" s="336" t="s">
        <v>1511</v>
      </c>
      <c r="K26" s="333">
        <v>20000</v>
      </c>
      <c r="L26" s="333"/>
      <c r="M26" s="333">
        <v>0</v>
      </c>
      <c r="N26" s="333">
        <v>0</v>
      </c>
      <c r="O26" s="343">
        <f t="shared" si="0"/>
        <v>0</v>
      </c>
      <c r="P26" s="333">
        <f t="shared" si="1"/>
        <v>20000</v>
      </c>
      <c r="Q26" s="403"/>
      <c r="R26" s="347">
        <v>41374</v>
      </c>
      <c r="S26" s="347"/>
      <c r="T26" s="344"/>
    </row>
    <row r="27" spans="2:20" x14ac:dyDescent="0.25">
      <c r="B27" s="233" t="s">
        <v>5</v>
      </c>
      <c r="C27" s="234">
        <f>EconomiaT40!C10</f>
        <v>129700</v>
      </c>
      <c r="D27" s="424">
        <f t="shared" si="8"/>
        <v>3.1973487199844575E-3</v>
      </c>
      <c r="E27" s="226" t="s">
        <v>1601</v>
      </c>
      <c r="F27" s="242">
        <f>SUM(F28:F33)</f>
        <v>3824844</v>
      </c>
      <c r="G27" s="271">
        <f t="shared" ref="G27:G33" si="11">F27/$F$34</f>
        <v>9.4289591885429708E-2</v>
      </c>
      <c r="I27" s="334" t="s">
        <v>1005</v>
      </c>
      <c r="J27" s="337" t="s">
        <v>1512</v>
      </c>
      <c r="K27" s="335">
        <v>90000</v>
      </c>
      <c r="L27" s="335"/>
      <c r="M27" s="335">
        <v>120000</v>
      </c>
      <c r="N27" s="335">
        <f>M27-110064</f>
        <v>9936</v>
      </c>
      <c r="O27" s="335">
        <f t="shared" si="0"/>
        <v>20064</v>
      </c>
      <c r="P27" s="335">
        <f t="shared" si="1"/>
        <v>0</v>
      </c>
      <c r="Q27" s="405">
        <f t="shared" ref="Q27:Q46" si="12">O27/K27</f>
        <v>0.22293333333333334</v>
      </c>
      <c r="R27" s="348">
        <v>41376</v>
      </c>
      <c r="S27" s="348">
        <v>41454</v>
      </c>
      <c r="T27" s="353">
        <f t="shared" ref="T27:T46" si="13">O27/((S27-R27)/7)</f>
        <v>1800.6153846153848</v>
      </c>
    </row>
    <row r="28" spans="2:20" x14ac:dyDescent="0.25">
      <c r="B28" s="226"/>
      <c r="C28" s="242"/>
      <c r="D28" s="304"/>
      <c r="E28" s="307" t="s">
        <v>882</v>
      </c>
      <c r="F28" s="428">
        <f>EconomiaT40!C14</f>
        <v>2279380</v>
      </c>
      <c r="G28" s="272">
        <f t="shared" si="11"/>
        <v>5.6191000195514054E-2</v>
      </c>
      <c r="I28" s="334" t="s">
        <v>1005</v>
      </c>
      <c r="J28" s="337" t="s">
        <v>1513</v>
      </c>
      <c r="K28" s="335">
        <v>75480</v>
      </c>
      <c r="L28" s="335"/>
      <c r="M28" s="335">
        <v>120360</v>
      </c>
      <c r="N28" s="335">
        <f>M28-110442</f>
        <v>9918</v>
      </c>
      <c r="O28" s="335">
        <f t="shared" si="0"/>
        <v>34962</v>
      </c>
      <c r="P28" s="335">
        <f t="shared" si="1"/>
        <v>0</v>
      </c>
      <c r="Q28" s="405">
        <f t="shared" si="12"/>
        <v>0.46319554848966615</v>
      </c>
      <c r="R28" s="348">
        <v>41376</v>
      </c>
      <c r="S28" s="348">
        <v>41454</v>
      </c>
      <c r="T28" s="353">
        <f t="shared" si="13"/>
        <v>3137.6153846153848</v>
      </c>
    </row>
    <row r="29" spans="2:20" x14ac:dyDescent="0.25">
      <c r="B29" s="226" t="s">
        <v>1200</v>
      </c>
      <c r="C29" s="242">
        <f>EconomiaT40!S24</f>
        <v>571847</v>
      </c>
      <c r="D29" s="304">
        <f>C29/$C$34</f>
        <v>1.4097103110847742E-2</v>
      </c>
      <c r="E29" s="307" t="s">
        <v>29</v>
      </c>
      <c r="F29" s="428">
        <f>EconomiaT40!C15</f>
        <v>434464</v>
      </c>
      <c r="G29" s="272">
        <f t="shared" si="11"/>
        <v>1.0710354003695662E-2</v>
      </c>
      <c r="I29" s="334" t="s">
        <v>1005</v>
      </c>
      <c r="J29" s="337" t="s">
        <v>1514</v>
      </c>
      <c r="K29" s="335">
        <v>86000</v>
      </c>
      <c r="L29" s="335"/>
      <c r="M29" s="335">
        <v>144995</v>
      </c>
      <c r="N29" s="335">
        <f>M29-129336</f>
        <v>15659</v>
      </c>
      <c r="O29" s="335">
        <f t="shared" si="0"/>
        <v>43336</v>
      </c>
      <c r="P29" s="335">
        <f t="shared" si="1"/>
        <v>0</v>
      </c>
      <c r="Q29" s="405">
        <f t="shared" si="12"/>
        <v>0.50390697674418605</v>
      </c>
      <c r="R29" s="348">
        <v>41377</v>
      </c>
      <c r="S29" s="348">
        <v>41412</v>
      </c>
      <c r="T29" s="353">
        <f t="shared" si="13"/>
        <v>8667.2000000000007</v>
      </c>
    </row>
    <row r="30" spans="2:20" x14ac:dyDescent="0.25">
      <c r="B30" s="226"/>
      <c r="C30" s="242"/>
      <c r="D30" s="304"/>
      <c r="E30" s="307" t="s">
        <v>6</v>
      </c>
      <c r="F30" s="428">
        <f>EconomiaT40!C17</f>
        <v>682200</v>
      </c>
      <c r="G30" s="272">
        <f t="shared" si="11"/>
        <v>1.6817511925777927E-2</v>
      </c>
      <c r="I30" s="334" t="s">
        <v>1005</v>
      </c>
      <c r="J30" s="337" t="s">
        <v>1515</v>
      </c>
      <c r="K30" s="335">
        <v>90000</v>
      </c>
      <c r="L30" s="335"/>
      <c r="M30" s="335">
        <v>114000</v>
      </c>
      <c r="N30" s="335">
        <f>M30-104173</f>
        <v>9827</v>
      </c>
      <c r="O30" s="335">
        <f t="shared" si="0"/>
        <v>14173</v>
      </c>
      <c r="P30" s="335">
        <f t="shared" si="1"/>
        <v>0</v>
      </c>
      <c r="Q30" s="405">
        <f t="shared" si="12"/>
        <v>0.15747777777777777</v>
      </c>
      <c r="R30" s="348">
        <v>41377</v>
      </c>
      <c r="S30" s="348">
        <v>41447</v>
      </c>
      <c r="T30" s="353">
        <f t="shared" si="13"/>
        <v>1417.3</v>
      </c>
    </row>
    <row r="31" spans="2:20" x14ac:dyDescent="0.25">
      <c r="B31" s="226"/>
      <c r="C31" s="242"/>
      <c r="D31" s="304"/>
      <c r="E31" s="307" t="s">
        <v>8</v>
      </c>
      <c r="F31" s="428">
        <f>EconomiaT40!C18</f>
        <v>320000</v>
      </c>
      <c r="G31" s="272">
        <f t="shared" si="11"/>
        <v>7.8886013137627331E-3</v>
      </c>
      <c r="I31" s="334" t="s">
        <v>1005</v>
      </c>
      <c r="J31" s="337" t="s">
        <v>1516</v>
      </c>
      <c r="K31" s="335">
        <v>79000</v>
      </c>
      <c r="L31" s="335"/>
      <c r="M31" s="335">
        <v>130000</v>
      </c>
      <c r="N31" s="335">
        <f>M31-117221</f>
        <v>12779</v>
      </c>
      <c r="O31" s="335">
        <f t="shared" si="0"/>
        <v>38221</v>
      </c>
      <c r="P31" s="335">
        <f t="shared" si="1"/>
        <v>0</v>
      </c>
      <c r="Q31" s="405">
        <f t="shared" si="12"/>
        <v>0.48381012658227845</v>
      </c>
      <c r="R31" s="348">
        <v>41377</v>
      </c>
      <c r="S31" s="348">
        <v>41426</v>
      </c>
      <c r="T31" s="353">
        <f t="shared" si="13"/>
        <v>5460.1428571428569</v>
      </c>
    </row>
    <row r="32" spans="2:20" x14ac:dyDescent="0.25">
      <c r="B32" s="226"/>
      <c r="C32" s="242"/>
      <c r="D32" s="304"/>
      <c r="E32" s="307" t="s">
        <v>818</v>
      </c>
      <c r="F32" s="428">
        <f>EconomiaT40!C21</f>
        <v>108800</v>
      </c>
      <c r="G32" s="272">
        <f t="shared" si="11"/>
        <v>2.6821244466793291E-3</v>
      </c>
      <c r="I32" s="334" t="s">
        <v>1005</v>
      </c>
      <c r="J32" s="337" t="s">
        <v>1517</v>
      </c>
      <c r="K32" s="335">
        <v>225000</v>
      </c>
      <c r="L32" s="335"/>
      <c r="M32" s="335">
        <v>255000</v>
      </c>
      <c r="N32" s="335">
        <f>M32-233759</f>
        <v>21241</v>
      </c>
      <c r="O32" s="335">
        <f t="shared" si="0"/>
        <v>8759</v>
      </c>
      <c r="P32" s="335">
        <f t="shared" si="1"/>
        <v>0</v>
      </c>
      <c r="Q32" s="405">
        <f t="shared" si="12"/>
        <v>3.8928888888888888E-2</v>
      </c>
      <c r="R32" s="348">
        <v>41377</v>
      </c>
      <c r="S32" s="348">
        <v>41454</v>
      </c>
      <c r="T32" s="353">
        <f t="shared" si="13"/>
        <v>796.27272727272725</v>
      </c>
    </row>
    <row r="33" spans="2:20" x14ac:dyDescent="0.25">
      <c r="B33" s="230"/>
      <c r="C33" s="229"/>
      <c r="D33" s="304"/>
      <c r="E33" s="431" t="s">
        <v>10</v>
      </c>
      <c r="F33" s="432">
        <f>EconomiaT40!C22</f>
        <v>0</v>
      </c>
      <c r="G33" s="430">
        <f t="shared" si="11"/>
        <v>0</v>
      </c>
      <c r="I33" s="334" t="s">
        <v>1005</v>
      </c>
      <c r="J33" s="337" t="s">
        <v>1518</v>
      </c>
      <c r="K33" s="335">
        <v>99000</v>
      </c>
      <c r="L33" s="335"/>
      <c r="M33" s="335">
        <v>108995</v>
      </c>
      <c r="N33" s="335">
        <f>M33-99491</f>
        <v>9504</v>
      </c>
      <c r="O33" s="335">
        <f t="shared" si="0"/>
        <v>491</v>
      </c>
      <c r="P33" s="335">
        <f t="shared" si="1"/>
        <v>0</v>
      </c>
      <c r="Q33" s="405">
        <f t="shared" si="12"/>
        <v>4.9595959595959598E-3</v>
      </c>
      <c r="R33" s="348">
        <v>41378</v>
      </c>
      <c r="S33" s="348">
        <v>41447</v>
      </c>
      <c r="T33" s="353">
        <f t="shared" si="13"/>
        <v>49.811594202898547</v>
      </c>
    </row>
    <row r="34" spans="2:20" ht="18.75" x14ac:dyDescent="0.3">
      <c r="B34" s="239" t="s">
        <v>291</v>
      </c>
      <c r="C34" s="240">
        <f>C22+C17+C11+C6+C29</f>
        <v>40564859</v>
      </c>
      <c r="D34" s="43">
        <f>C34/$C$34</f>
        <v>1</v>
      </c>
      <c r="E34" s="366" t="s">
        <v>291</v>
      </c>
      <c r="F34" s="367">
        <f>F27+F19+F11+F6+F23</f>
        <v>40564859</v>
      </c>
      <c r="G34" s="43">
        <f>F34/$F$34</f>
        <v>1</v>
      </c>
      <c r="I34" s="334" t="s">
        <v>1005</v>
      </c>
      <c r="J34" s="337" t="s">
        <v>1519</v>
      </c>
      <c r="K34" s="335">
        <v>100000</v>
      </c>
      <c r="L34" s="335"/>
      <c r="M34" s="335">
        <v>115000</v>
      </c>
      <c r="N34" s="335">
        <f>M34-104972</f>
        <v>10028</v>
      </c>
      <c r="O34" s="335">
        <f t="shared" si="0"/>
        <v>4972</v>
      </c>
      <c r="P34" s="335">
        <f t="shared" si="1"/>
        <v>0</v>
      </c>
      <c r="Q34" s="405">
        <f t="shared" si="12"/>
        <v>4.972E-2</v>
      </c>
      <c r="R34" s="348">
        <v>41378</v>
      </c>
      <c r="S34" s="348">
        <v>41447</v>
      </c>
      <c r="T34" s="353">
        <f t="shared" si="13"/>
        <v>504.40579710144925</v>
      </c>
    </row>
    <row r="35" spans="2:20" x14ac:dyDescent="0.25">
      <c r="F35" s="417">
        <f>F34-C34</f>
        <v>0</v>
      </c>
      <c r="I35" s="334" t="s">
        <v>1005</v>
      </c>
      <c r="J35" s="337" t="s">
        <v>1520</v>
      </c>
      <c r="K35" s="335">
        <v>250000</v>
      </c>
      <c r="L35" s="335"/>
      <c r="M35" s="335">
        <v>318240</v>
      </c>
      <c r="N35" s="335">
        <f>M35-290330</f>
        <v>27910</v>
      </c>
      <c r="O35" s="335">
        <f t="shared" si="0"/>
        <v>40330</v>
      </c>
      <c r="P35" s="335">
        <f t="shared" si="1"/>
        <v>0</v>
      </c>
      <c r="Q35" s="405">
        <f t="shared" si="12"/>
        <v>0.16131999999999999</v>
      </c>
      <c r="R35" s="348">
        <v>41379</v>
      </c>
      <c r="S35" s="348">
        <v>41447</v>
      </c>
      <c r="T35" s="353">
        <f t="shared" si="13"/>
        <v>4151.6176470588234</v>
      </c>
    </row>
    <row r="36" spans="2:20" x14ac:dyDescent="0.25">
      <c r="I36" s="334" t="s">
        <v>1005</v>
      </c>
      <c r="J36" s="337" t="s">
        <v>1521</v>
      </c>
      <c r="K36" s="335">
        <v>90000</v>
      </c>
      <c r="L36" s="335"/>
      <c r="M36" s="335">
        <v>99995</v>
      </c>
      <c r="N36" s="335">
        <f>M36-91575</f>
        <v>8420</v>
      </c>
      <c r="O36" s="335">
        <f t="shared" si="0"/>
        <v>1575</v>
      </c>
      <c r="P36" s="335">
        <f t="shared" si="1"/>
        <v>0</v>
      </c>
      <c r="Q36" s="405">
        <f t="shared" si="12"/>
        <v>1.7500000000000002E-2</v>
      </c>
      <c r="R36" s="348">
        <v>41379</v>
      </c>
      <c r="S36" s="348">
        <v>41454</v>
      </c>
      <c r="T36" s="353">
        <f t="shared" si="13"/>
        <v>147</v>
      </c>
    </row>
    <row r="37" spans="2:20" x14ac:dyDescent="0.25">
      <c r="I37" s="408" t="s">
        <v>1005</v>
      </c>
      <c r="J37" s="409" t="s">
        <v>1522</v>
      </c>
      <c r="K37" s="410">
        <v>250000</v>
      </c>
      <c r="L37" s="410"/>
      <c r="M37" s="410">
        <v>269000</v>
      </c>
      <c r="N37" s="410">
        <f>M37-241508</f>
        <v>27492</v>
      </c>
      <c r="O37" s="410">
        <f t="shared" si="0"/>
        <v>-8492</v>
      </c>
      <c r="P37" s="410">
        <f t="shared" si="1"/>
        <v>0</v>
      </c>
      <c r="Q37" s="405">
        <f t="shared" si="12"/>
        <v>-3.3967999999999998E-2</v>
      </c>
      <c r="R37" s="412">
        <v>41379</v>
      </c>
      <c r="S37" s="412">
        <v>41422</v>
      </c>
      <c r="T37" s="413">
        <f t="shared" si="13"/>
        <v>-1382.4186046511627</v>
      </c>
    </row>
    <row r="38" spans="2:20" x14ac:dyDescent="0.25">
      <c r="H38" s="225"/>
      <c r="I38" s="334" t="s">
        <v>1005</v>
      </c>
      <c r="J38" s="337" t="s">
        <v>1523</v>
      </c>
      <c r="K38" s="335">
        <v>90000</v>
      </c>
      <c r="L38" s="335"/>
      <c r="M38" s="335">
        <v>169000</v>
      </c>
      <c r="N38" s="335">
        <f>M38-150478</f>
        <v>18522</v>
      </c>
      <c r="O38" s="335">
        <f t="shared" si="0"/>
        <v>60478</v>
      </c>
      <c r="P38" s="335">
        <f>IF(M38=0,K38,0)</f>
        <v>0</v>
      </c>
      <c r="Q38" s="405">
        <f t="shared" si="12"/>
        <v>0.67197777777777778</v>
      </c>
      <c r="R38" s="348">
        <v>41380</v>
      </c>
      <c r="S38" s="348">
        <v>41412</v>
      </c>
      <c r="T38" s="353">
        <f t="shared" si="13"/>
        <v>13229.5625</v>
      </c>
    </row>
    <row r="39" spans="2:20" x14ac:dyDescent="0.25">
      <c r="I39" s="334" t="s">
        <v>1005</v>
      </c>
      <c r="J39" s="337" t="s">
        <v>1524</v>
      </c>
      <c r="K39" s="335">
        <v>100000</v>
      </c>
      <c r="L39" s="335"/>
      <c r="M39" s="335">
        <v>159995</v>
      </c>
      <c r="N39" s="335">
        <f>M39-142332</f>
        <v>17663</v>
      </c>
      <c r="O39" s="335">
        <f t="shared" si="0"/>
        <v>42332</v>
      </c>
      <c r="P39" s="335">
        <f>IF(M39=0,K39,0)</f>
        <v>0</v>
      </c>
      <c r="Q39" s="405">
        <f t="shared" si="12"/>
        <v>0.42331999999999997</v>
      </c>
      <c r="R39" s="348">
        <v>41380</v>
      </c>
      <c r="S39" s="348">
        <v>41412</v>
      </c>
      <c r="T39" s="353">
        <f t="shared" si="13"/>
        <v>9260.125</v>
      </c>
    </row>
    <row r="40" spans="2:20" x14ac:dyDescent="0.25">
      <c r="C40" s="129"/>
      <c r="E40" s="30"/>
      <c r="I40" s="334" t="s">
        <v>1005</v>
      </c>
      <c r="J40" s="337" t="s">
        <v>1525</v>
      </c>
      <c r="K40" s="335">
        <v>75480</v>
      </c>
      <c r="L40" s="335"/>
      <c r="M40" s="335">
        <v>124995</v>
      </c>
      <c r="N40" s="335">
        <f>M40-111196</f>
        <v>13799</v>
      </c>
      <c r="O40" s="335">
        <f t="shared" ref="O40:O52" si="14">IF(M40=0,0,M40-K40)-N40</f>
        <v>35716</v>
      </c>
      <c r="P40" s="335">
        <f>IF(M40=0,K40,0)</f>
        <v>0</v>
      </c>
      <c r="Q40" s="405">
        <f t="shared" si="12"/>
        <v>0.47318494965553787</v>
      </c>
      <c r="R40" s="348">
        <v>41380</v>
      </c>
      <c r="S40" s="348">
        <v>41412</v>
      </c>
      <c r="T40" s="353">
        <f t="shared" si="13"/>
        <v>7812.875</v>
      </c>
    </row>
    <row r="41" spans="2:20" x14ac:dyDescent="0.25">
      <c r="E41" s="30"/>
      <c r="I41" s="334" t="s">
        <v>1005</v>
      </c>
      <c r="J41" s="337" t="s">
        <v>1571</v>
      </c>
      <c r="K41" s="335">
        <v>94000</v>
      </c>
      <c r="L41" s="335"/>
      <c r="M41" s="335">
        <v>115000</v>
      </c>
      <c r="N41" s="335">
        <f>M41-104432</f>
        <v>10568</v>
      </c>
      <c r="O41" s="335">
        <f t="shared" si="14"/>
        <v>10432</v>
      </c>
      <c r="P41" s="335">
        <f t="shared" ref="P41:P52" si="15">IF(M41=0,K41,0)</f>
        <v>0</v>
      </c>
      <c r="Q41" s="405">
        <f t="shared" si="12"/>
        <v>0.11097872340425533</v>
      </c>
      <c r="R41" s="348">
        <v>41380</v>
      </c>
      <c r="S41" s="348">
        <v>41440</v>
      </c>
      <c r="T41" s="353">
        <f t="shared" si="13"/>
        <v>1217.0666666666666</v>
      </c>
    </row>
    <row r="42" spans="2:20" x14ac:dyDescent="0.25">
      <c r="I42" s="334" t="s">
        <v>1005</v>
      </c>
      <c r="J42" s="337" t="s">
        <v>1572</v>
      </c>
      <c r="K42" s="335">
        <v>95000</v>
      </c>
      <c r="L42" s="335"/>
      <c r="M42" s="335">
        <v>105000</v>
      </c>
      <c r="N42" s="335">
        <f>M42-96495</f>
        <v>8505</v>
      </c>
      <c r="O42" s="335">
        <f t="shared" si="14"/>
        <v>1495</v>
      </c>
      <c r="P42" s="335">
        <f t="shared" si="15"/>
        <v>0</v>
      </c>
      <c r="Q42" s="405">
        <f t="shared" si="12"/>
        <v>1.5736842105263157E-2</v>
      </c>
      <c r="R42" s="348">
        <v>41380</v>
      </c>
      <c r="S42" s="348">
        <v>41462</v>
      </c>
      <c r="T42" s="353">
        <f t="shared" si="13"/>
        <v>127.6219512195122</v>
      </c>
    </row>
    <row r="43" spans="2:20" x14ac:dyDescent="0.25">
      <c r="I43" s="334" t="s">
        <v>1005</v>
      </c>
      <c r="J43" s="337" t="s">
        <v>1573</v>
      </c>
      <c r="K43" s="335">
        <v>88740</v>
      </c>
      <c r="L43" s="335"/>
      <c r="M43" s="335">
        <v>119995</v>
      </c>
      <c r="N43" s="335">
        <f>M43-109471</f>
        <v>10524</v>
      </c>
      <c r="O43" s="335">
        <f t="shared" si="14"/>
        <v>20731</v>
      </c>
      <c r="P43" s="335">
        <f t="shared" si="15"/>
        <v>0</v>
      </c>
      <c r="Q43" s="405">
        <f t="shared" si="12"/>
        <v>0.23361505521748929</v>
      </c>
      <c r="R43" s="348">
        <v>41381</v>
      </c>
      <c r="S43" s="348">
        <v>41447</v>
      </c>
      <c r="T43" s="353">
        <f t="shared" si="13"/>
        <v>2198.742424242424</v>
      </c>
    </row>
    <row r="44" spans="2:20" x14ac:dyDescent="0.25">
      <c r="B44" s="225"/>
      <c r="I44" s="334" t="s">
        <v>1005</v>
      </c>
      <c r="J44" s="337" t="s">
        <v>1574</v>
      </c>
      <c r="K44" s="335">
        <v>100000</v>
      </c>
      <c r="L44" s="335"/>
      <c r="M44" s="335">
        <v>165000</v>
      </c>
      <c r="N44" s="335">
        <f>M44-146652</f>
        <v>18348</v>
      </c>
      <c r="O44" s="335">
        <f t="shared" si="14"/>
        <v>46652</v>
      </c>
      <c r="P44" s="335">
        <f t="shared" si="15"/>
        <v>0</v>
      </c>
      <c r="Q44" s="405">
        <f t="shared" si="12"/>
        <v>0.46651999999999999</v>
      </c>
      <c r="R44" s="348">
        <v>41381</v>
      </c>
      <c r="S44" s="348">
        <v>41412</v>
      </c>
      <c r="T44" s="353">
        <f t="shared" si="13"/>
        <v>10534.322580645161</v>
      </c>
    </row>
    <row r="45" spans="2:20" x14ac:dyDescent="0.25">
      <c r="I45" s="334" t="s">
        <v>1005</v>
      </c>
      <c r="J45" s="337" t="s">
        <v>1575</v>
      </c>
      <c r="K45" s="335">
        <v>77000</v>
      </c>
      <c r="L45" s="335"/>
      <c r="M45" s="335">
        <v>350000</v>
      </c>
      <c r="N45" s="335">
        <f>M45-311080</f>
        <v>38920</v>
      </c>
      <c r="O45" s="335">
        <f t="shared" si="14"/>
        <v>234080</v>
      </c>
      <c r="P45" s="335">
        <f t="shared" si="15"/>
        <v>0</v>
      </c>
      <c r="Q45" s="405">
        <f t="shared" si="12"/>
        <v>3.04</v>
      </c>
      <c r="R45" s="348">
        <v>41381</v>
      </c>
      <c r="S45" s="348">
        <v>41412</v>
      </c>
      <c r="T45" s="353">
        <f t="shared" si="13"/>
        <v>52856.774193548386</v>
      </c>
    </row>
    <row r="46" spans="2:20" x14ac:dyDescent="0.25">
      <c r="I46" s="334" t="s">
        <v>1005</v>
      </c>
      <c r="J46" s="337" t="s">
        <v>1576</v>
      </c>
      <c r="K46" s="335">
        <v>58140</v>
      </c>
      <c r="L46" s="335"/>
      <c r="M46" s="335">
        <v>160000</v>
      </c>
      <c r="N46" s="335">
        <f>M46-142064</f>
        <v>17936</v>
      </c>
      <c r="O46" s="335">
        <f t="shared" si="14"/>
        <v>83924</v>
      </c>
      <c r="P46" s="335">
        <f t="shared" si="15"/>
        <v>0</v>
      </c>
      <c r="Q46" s="405">
        <f t="shared" si="12"/>
        <v>1.4434812521499829</v>
      </c>
      <c r="R46" s="348">
        <v>41382</v>
      </c>
      <c r="S46" s="348">
        <v>41412</v>
      </c>
      <c r="T46" s="353">
        <f t="shared" si="13"/>
        <v>19582.266666666666</v>
      </c>
    </row>
    <row r="47" spans="2:20" x14ac:dyDescent="0.25">
      <c r="E47" s="225"/>
      <c r="I47" s="187" t="s">
        <v>1006</v>
      </c>
      <c r="J47" s="336" t="s">
        <v>1577</v>
      </c>
      <c r="K47" s="333">
        <v>50000</v>
      </c>
      <c r="L47" s="333"/>
      <c r="M47" s="333">
        <v>0</v>
      </c>
      <c r="N47" s="333">
        <v>0</v>
      </c>
      <c r="O47" s="343">
        <f t="shared" si="14"/>
        <v>0</v>
      </c>
      <c r="P47" s="333">
        <f t="shared" si="15"/>
        <v>50000</v>
      </c>
      <c r="Q47" s="403"/>
      <c r="R47" s="347">
        <v>41387</v>
      </c>
      <c r="S47" s="347"/>
      <c r="T47" s="344"/>
    </row>
    <row r="48" spans="2:20" x14ac:dyDescent="0.25">
      <c r="I48" s="334" t="s">
        <v>1004</v>
      </c>
      <c r="J48" s="337" t="s">
        <v>1578</v>
      </c>
      <c r="K48" s="335">
        <v>75000</v>
      </c>
      <c r="L48" s="335"/>
      <c r="M48" s="335">
        <v>174420</v>
      </c>
      <c r="N48" s="335">
        <f>M48-154728</f>
        <v>19692</v>
      </c>
      <c r="O48" s="335">
        <f t="shared" si="14"/>
        <v>79728</v>
      </c>
      <c r="P48" s="335">
        <f t="shared" si="15"/>
        <v>0</v>
      </c>
      <c r="Q48" s="405">
        <f>O48/K48</f>
        <v>1.06304</v>
      </c>
      <c r="R48" s="348">
        <v>41391</v>
      </c>
      <c r="S48" s="348">
        <v>41419</v>
      </c>
      <c r="T48" s="353">
        <f>O48/((S48-R48)/7)</f>
        <v>19932</v>
      </c>
    </row>
    <row r="49" spans="9:20" x14ac:dyDescent="0.25">
      <c r="I49" s="187" t="s">
        <v>1006</v>
      </c>
      <c r="J49" s="336" t="s">
        <v>1579</v>
      </c>
      <c r="K49" s="333">
        <v>400000</v>
      </c>
      <c r="L49" s="333"/>
      <c r="M49" s="333">
        <v>0</v>
      </c>
      <c r="N49" s="333">
        <v>0</v>
      </c>
      <c r="O49" s="343">
        <f t="shared" si="14"/>
        <v>0</v>
      </c>
      <c r="P49" s="333">
        <f t="shared" si="15"/>
        <v>400000</v>
      </c>
      <c r="Q49" s="403"/>
      <c r="R49" s="347">
        <v>41394</v>
      </c>
      <c r="S49" s="347"/>
      <c r="T49" s="344"/>
    </row>
    <row r="50" spans="9:20" x14ac:dyDescent="0.25">
      <c r="I50" s="334" t="s">
        <v>1004</v>
      </c>
      <c r="J50" s="337" t="s">
        <v>1582</v>
      </c>
      <c r="K50" s="335">
        <v>1699999</v>
      </c>
      <c r="L50" s="410"/>
      <c r="M50" s="335">
        <v>2099995</v>
      </c>
      <c r="N50" s="335">
        <f>M50-1909315</f>
        <v>190680</v>
      </c>
      <c r="O50" s="335">
        <f t="shared" si="14"/>
        <v>209316</v>
      </c>
      <c r="P50" s="335">
        <f t="shared" si="15"/>
        <v>0</v>
      </c>
      <c r="Q50" s="405">
        <f>O50/K50</f>
        <v>0.12312713125125367</v>
      </c>
      <c r="R50" s="348">
        <v>41401</v>
      </c>
      <c r="S50" s="348">
        <v>41463</v>
      </c>
      <c r="T50" s="353">
        <f>O50/((S50-R50)/7)</f>
        <v>23632.451612903224</v>
      </c>
    </row>
    <row r="51" spans="9:20" x14ac:dyDescent="0.25">
      <c r="I51" s="334" t="s">
        <v>1004</v>
      </c>
      <c r="J51" s="337" t="s">
        <v>1585</v>
      </c>
      <c r="K51" s="335">
        <v>580000</v>
      </c>
      <c r="L51" s="335"/>
      <c r="M51" s="335">
        <v>1220000</v>
      </c>
      <c r="N51" s="335">
        <f>M51-1120570</f>
        <v>99430</v>
      </c>
      <c r="O51" s="335">
        <f t="shared" si="14"/>
        <v>540570</v>
      </c>
      <c r="P51" s="335">
        <f t="shared" si="15"/>
        <v>0</v>
      </c>
      <c r="Q51" s="405">
        <f>O51/K51</f>
        <v>0.9320172413793103</v>
      </c>
      <c r="R51" s="348">
        <v>41404</v>
      </c>
      <c r="S51" s="348">
        <v>41485</v>
      </c>
      <c r="T51" s="353">
        <f>O51/((S51-R51)/7)</f>
        <v>46715.925925925927</v>
      </c>
    </row>
    <row r="52" spans="9:20" x14ac:dyDescent="0.25">
      <c r="I52" s="434" t="s">
        <v>1003</v>
      </c>
      <c r="J52" s="435" t="s">
        <v>1597</v>
      </c>
      <c r="K52" s="436">
        <v>0</v>
      </c>
      <c r="L52" s="436"/>
      <c r="M52" s="436">
        <v>400000</v>
      </c>
      <c r="N52" s="436">
        <v>20000</v>
      </c>
      <c r="O52" s="436">
        <f t="shared" si="14"/>
        <v>380000</v>
      </c>
      <c r="P52" s="436">
        <f t="shared" si="15"/>
        <v>0</v>
      </c>
      <c r="Q52" s="437"/>
      <c r="R52" s="438">
        <v>41412</v>
      </c>
      <c r="S52" s="438">
        <v>41415</v>
      </c>
      <c r="T52" s="351"/>
    </row>
    <row r="53" spans="9:20" x14ac:dyDescent="0.25">
      <c r="I53" s="434" t="s">
        <v>1003</v>
      </c>
      <c r="J53" s="435" t="s">
        <v>1609</v>
      </c>
      <c r="K53" s="436">
        <v>0</v>
      </c>
      <c r="L53" s="436"/>
      <c r="M53" s="436">
        <v>1000</v>
      </c>
      <c r="N53" s="436">
        <v>50</v>
      </c>
      <c r="O53" s="436">
        <f t="shared" ref="O53" si="16">IF(M53=0,0,M53-K53)-N53</f>
        <v>950</v>
      </c>
      <c r="P53" s="436">
        <f t="shared" ref="P53" si="17">IF(M53=0,K53,0)</f>
        <v>0</v>
      </c>
      <c r="Q53" s="437"/>
      <c r="R53" s="438">
        <v>41452</v>
      </c>
      <c r="S53" s="438">
        <v>41455</v>
      </c>
      <c r="T53" s="351"/>
    </row>
    <row r="54" spans="9:20" x14ac:dyDescent="0.25">
      <c r="I54" s="434" t="s">
        <v>1003</v>
      </c>
      <c r="J54" s="435" t="s">
        <v>1610</v>
      </c>
      <c r="K54" s="436">
        <v>0</v>
      </c>
      <c r="L54" s="436"/>
      <c r="M54" s="436">
        <v>103020</v>
      </c>
      <c r="N54" s="436">
        <f>M54-97869</f>
        <v>5151</v>
      </c>
      <c r="O54" s="436">
        <f t="shared" ref="O54:O55" si="18">IF(M54=0,0,M54-K54)-N54</f>
        <v>97869</v>
      </c>
      <c r="P54" s="436">
        <f t="shared" ref="P54:P55" si="19">IF(M54=0,K54,0)</f>
        <v>0</v>
      </c>
      <c r="Q54" s="437"/>
      <c r="R54" s="438">
        <v>41457</v>
      </c>
      <c r="S54" s="438">
        <v>41460</v>
      </c>
      <c r="T54" s="351"/>
    </row>
    <row r="55" spans="9:20" x14ac:dyDescent="0.25">
      <c r="I55" s="187" t="s">
        <v>1004</v>
      </c>
      <c r="J55" s="336" t="s">
        <v>1611</v>
      </c>
      <c r="K55" s="333">
        <v>2012000</v>
      </c>
      <c r="L55" s="333">
        <v>7788</v>
      </c>
      <c r="M55" s="333">
        <v>0</v>
      </c>
      <c r="N55" s="333">
        <v>0</v>
      </c>
      <c r="O55" s="343">
        <f t="shared" si="18"/>
        <v>0</v>
      </c>
      <c r="P55" s="333">
        <f t="shared" si="19"/>
        <v>2012000</v>
      </c>
      <c r="Q55" s="403"/>
      <c r="R55" s="347">
        <v>41465</v>
      </c>
      <c r="S55" s="347"/>
      <c r="T55" s="344"/>
    </row>
    <row r="56" spans="9:20" x14ac:dyDescent="0.25">
      <c r="I56" s="187" t="s">
        <v>1006</v>
      </c>
      <c r="J56" s="336" t="s">
        <v>1612</v>
      </c>
      <c r="K56" s="333">
        <v>2017000</v>
      </c>
      <c r="L56" s="333">
        <v>13644</v>
      </c>
      <c r="M56" s="333">
        <v>0</v>
      </c>
      <c r="N56" s="333">
        <v>0</v>
      </c>
      <c r="O56" s="343">
        <f t="shared" ref="O56:O57" si="20">IF(M56=0,0,M56-K56)-N56</f>
        <v>0</v>
      </c>
      <c r="P56" s="333">
        <f t="shared" ref="P56:P57" si="21">IF(M56=0,K56,0)</f>
        <v>2017000</v>
      </c>
      <c r="Q56" s="403"/>
      <c r="R56" s="347">
        <v>41465</v>
      </c>
      <c r="S56" s="347"/>
      <c r="T56" s="344"/>
    </row>
    <row r="57" spans="9:20" x14ac:dyDescent="0.25">
      <c r="I57" s="187" t="s">
        <v>1004</v>
      </c>
      <c r="J57" s="336" t="s">
        <v>1613</v>
      </c>
      <c r="K57" s="333">
        <v>2300000</v>
      </c>
      <c r="L57" s="333">
        <v>16452</v>
      </c>
      <c r="M57" s="333">
        <v>0</v>
      </c>
      <c r="N57" s="333">
        <v>0</v>
      </c>
      <c r="O57" s="343">
        <f t="shared" si="20"/>
        <v>0</v>
      </c>
      <c r="P57" s="333">
        <f t="shared" si="21"/>
        <v>2300000</v>
      </c>
      <c r="Q57" s="403"/>
      <c r="R57" s="347">
        <v>41469</v>
      </c>
      <c r="S57" s="347"/>
      <c r="T57" s="344"/>
    </row>
    <row r="58" spans="9:20" x14ac:dyDescent="0.25">
      <c r="I58" s="187" t="s">
        <v>1006</v>
      </c>
      <c r="J58" s="336" t="s">
        <v>1614</v>
      </c>
      <c r="K58" s="333">
        <v>950000</v>
      </c>
      <c r="L58" s="333">
        <v>10490</v>
      </c>
      <c r="M58" s="333">
        <v>0</v>
      </c>
      <c r="N58" s="333">
        <v>0</v>
      </c>
      <c r="O58" s="343">
        <f t="shared" ref="O58:O59" si="22">IF(M58=0,0,M58-K58)-N58</f>
        <v>0</v>
      </c>
      <c r="P58" s="333">
        <f t="shared" ref="P58:P59" si="23">IF(M58=0,K58,0)</f>
        <v>950000</v>
      </c>
      <c r="Q58" s="403"/>
      <c r="R58" s="347">
        <v>41480</v>
      </c>
      <c r="S58" s="347"/>
      <c r="T58" s="344"/>
    </row>
    <row r="59" spans="9:20" x14ac:dyDescent="0.25">
      <c r="I59" s="187" t="s">
        <v>1004</v>
      </c>
      <c r="J59" s="336" t="s">
        <v>1615</v>
      </c>
      <c r="K59" s="333">
        <v>1805000</v>
      </c>
      <c r="L59" s="333">
        <v>6372</v>
      </c>
      <c r="M59" s="333">
        <v>0</v>
      </c>
      <c r="N59" s="333">
        <v>0</v>
      </c>
      <c r="O59" s="343">
        <f t="shared" si="22"/>
        <v>0</v>
      </c>
      <c r="P59" s="333">
        <f t="shared" si="23"/>
        <v>1805000</v>
      </c>
      <c r="Q59" s="403"/>
      <c r="R59" s="347">
        <v>41485</v>
      </c>
      <c r="S59" s="347"/>
      <c r="T59" s="344"/>
    </row>
    <row r="60" spans="9:20" x14ac:dyDescent="0.25">
      <c r="I60" s="187" t="s">
        <v>1006</v>
      </c>
      <c r="J60" s="336" t="s">
        <v>1616</v>
      </c>
      <c r="K60" s="333">
        <v>1275000</v>
      </c>
      <c r="L60" s="333">
        <v>11892</v>
      </c>
      <c r="M60" s="333">
        <v>0</v>
      </c>
      <c r="N60" s="333">
        <v>0</v>
      </c>
      <c r="O60" s="343">
        <f t="shared" ref="O60:O61" si="24">IF(M60=0,0,M60-K60)-N60</f>
        <v>0</v>
      </c>
      <c r="P60" s="333">
        <f t="shared" ref="P60:P61" si="25">IF(M60=0,K60,0)</f>
        <v>1275000</v>
      </c>
      <c r="Q60" s="403"/>
      <c r="R60" s="347">
        <v>41488</v>
      </c>
      <c r="S60" s="347"/>
      <c r="T60" s="344"/>
    </row>
    <row r="61" spans="9:20" x14ac:dyDescent="0.25">
      <c r="I61" s="434" t="s">
        <v>1003</v>
      </c>
      <c r="J61" s="435" t="s">
        <v>1617</v>
      </c>
      <c r="K61" s="436">
        <v>0</v>
      </c>
      <c r="L61" s="436"/>
      <c r="M61" s="436">
        <v>90780</v>
      </c>
      <c r="N61" s="436">
        <f>M61-86241</f>
        <v>4539</v>
      </c>
      <c r="O61" s="436">
        <f t="shared" si="24"/>
        <v>86241</v>
      </c>
      <c r="P61" s="436">
        <f t="shared" si="25"/>
        <v>0</v>
      </c>
      <c r="Q61" s="437"/>
      <c r="R61" s="438">
        <v>41457</v>
      </c>
      <c r="S61" s="438">
        <v>41490</v>
      </c>
      <c r="T61" s="351"/>
    </row>
    <row r="62" spans="9:20" x14ac:dyDescent="0.25">
      <c r="I62" s="187" t="s">
        <v>1006</v>
      </c>
      <c r="J62" s="336" t="s">
        <v>1618</v>
      </c>
      <c r="K62" s="333">
        <v>800000</v>
      </c>
      <c r="L62" s="333">
        <v>15050</v>
      </c>
      <c r="M62" s="333">
        <v>0</v>
      </c>
      <c r="N62" s="333">
        <v>0</v>
      </c>
      <c r="O62" s="343">
        <f t="shared" ref="O62" si="26">IF(M62=0,0,M62-K62)-N62</f>
        <v>0</v>
      </c>
      <c r="P62" s="333">
        <f t="shared" ref="P62" si="27">IF(M62=0,K62,0)</f>
        <v>800000</v>
      </c>
      <c r="Q62" s="403"/>
      <c r="R62" s="347">
        <v>41491</v>
      </c>
      <c r="S62" s="347"/>
      <c r="T62" s="344"/>
    </row>
    <row r="63" spans="9:20" x14ac:dyDescent="0.25">
      <c r="I63" s="187" t="s">
        <v>1006</v>
      </c>
      <c r="J63" s="336" t="s">
        <v>1620</v>
      </c>
      <c r="K63" s="333">
        <v>633420</v>
      </c>
      <c r="L63" s="333">
        <v>6972</v>
      </c>
      <c r="M63" s="333">
        <v>0</v>
      </c>
      <c r="N63" s="333">
        <v>0</v>
      </c>
      <c r="O63" s="343">
        <f t="shared" ref="O63" si="28">IF(M63=0,0,M63-K63)-N63</f>
        <v>0</v>
      </c>
      <c r="P63" s="333">
        <f t="shared" ref="P63" si="29">IF(M63=0,K63,0)</f>
        <v>633420</v>
      </c>
      <c r="Q63" s="403"/>
      <c r="R63" s="347">
        <v>41515</v>
      </c>
      <c r="S63" s="347"/>
      <c r="T63" s="344"/>
    </row>
    <row r="64" spans="9:20" x14ac:dyDescent="0.25">
      <c r="I64" s="459"/>
      <c r="J64" s="459" t="s">
        <v>1709</v>
      </c>
      <c r="K64" s="460"/>
      <c r="L64" s="459"/>
      <c r="M64" s="460"/>
      <c r="N64" s="460"/>
      <c r="O64" s="460"/>
      <c r="P64" s="459"/>
      <c r="Q64" s="462"/>
      <c r="R64" s="459"/>
      <c r="S64" s="459"/>
      <c r="T64" s="461"/>
    </row>
  </sheetData>
  <autoFilter ref="I3:T64"/>
  <mergeCells count="5">
    <mergeCell ref="B2:G2"/>
    <mergeCell ref="I2:T2"/>
    <mergeCell ref="B3:G3"/>
    <mergeCell ref="B4:C4"/>
    <mergeCell ref="E4:F4"/>
  </mergeCells>
  <conditionalFormatting sqref="F12:F17 O4:O52 T4:T52 Q4:Q52">
    <cfRule type="cellIs" dxfId="1780" priority="163" operator="lessThan">
      <formula>0</formula>
    </cfRule>
    <cfRule type="cellIs" dxfId="1779" priority="164" operator="greaterThan">
      <formula>0</formula>
    </cfRule>
  </conditionalFormatting>
  <conditionalFormatting sqref="O53 T53 Q53">
    <cfRule type="cellIs" dxfId="1778" priority="27" operator="lessThan">
      <formula>0</formula>
    </cfRule>
    <cfRule type="cellIs" dxfId="1777" priority="28" operator="greaterThan">
      <formula>0</formula>
    </cfRule>
  </conditionalFormatting>
  <conditionalFormatting sqref="O54 T54 Q54">
    <cfRule type="cellIs" dxfId="1776" priority="25" operator="lessThan">
      <formula>0</formula>
    </cfRule>
    <cfRule type="cellIs" dxfId="1775" priority="26" operator="greaterThan">
      <formula>0</formula>
    </cfRule>
  </conditionalFormatting>
  <conditionalFormatting sqref="T53">
    <cfRule type="cellIs" dxfId="1774" priority="23" operator="lessThan">
      <formula>0</formula>
    </cfRule>
    <cfRule type="cellIs" dxfId="1773" priority="24" operator="greaterThan">
      <formula>0</formula>
    </cfRule>
  </conditionalFormatting>
  <conditionalFormatting sqref="T54">
    <cfRule type="cellIs" dxfId="1772" priority="21" operator="lessThan">
      <formula>0</formula>
    </cfRule>
    <cfRule type="cellIs" dxfId="1771" priority="22" operator="greaterThan">
      <formula>0</formula>
    </cfRule>
  </conditionalFormatting>
  <conditionalFormatting sqref="O55 Q55 T55">
    <cfRule type="cellIs" dxfId="1770" priority="19" operator="lessThan">
      <formula>0</formula>
    </cfRule>
    <cfRule type="cellIs" dxfId="1769" priority="20" operator="greaterThan">
      <formula>0</formula>
    </cfRule>
  </conditionalFormatting>
  <conditionalFormatting sqref="O56 Q56 T56">
    <cfRule type="cellIs" dxfId="1768" priority="17" operator="lessThan">
      <formula>0</formula>
    </cfRule>
    <cfRule type="cellIs" dxfId="1767" priority="18" operator="greaterThan">
      <formula>0</formula>
    </cfRule>
  </conditionalFormatting>
  <conditionalFormatting sqref="O57 Q57 T57">
    <cfRule type="cellIs" dxfId="1766" priority="15" operator="lessThan">
      <formula>0</formula>
    </cfRule>
    <cfRule type="cellIs" dxfId="1765" priority="16" operator="greaterThan">
      <formula>0</formula>
    </cfRule>
  </conditionalFormatting>
  <conditionalFormatting sqref="O58 Q58 T58">
    <cfRule type="cellIs" dxfId="1764" priority="13" operator="lessThan">
      <formula>0</formula>
    </cfRule>
    <cfRule type="cellIs" dxfId="1763" priority="14" operator="greaterThan">
      <formula>0</formula>
    </cfRule>
  </conditionalFormatting>
  <conditionalFormatting sqref="O59 Q59 T59">
    <cfRule type="cellIs" dxfId="1762" priority="11" operator="lessThan">
      <formula>0</formula>
    </cfRule>
    <cfRule type="cellIs" dxfId="1761" priority="12" operator="greaterThan">
      <formula>0</formula>
    </cfRule>
  </conditionalFormatting>
  <conditionalFormatting sqref="O60 Q60 T60">
    <cfRule type="cellIs" dxfId="1760" priority="9" operator="lessThan">
      <formula>0</formula>
    </cfRule>
    <cfRule type="cellIs" dxfId="1759" priority="10" operator="greaterThan">
      <formula>0</formula>
    </cfRule>
  </conditionalFormatting>
  <conditionalFormatting sqref="O61 T61 Q61">
    <cfRule type="cellIs" dxfId="1758" priority="7" operator="lessThan">
      <formula>0</formula>
    </cfRule>
    <cfRule type="cellIs" dxfId="1757" priority="8" operator="greaterThan">
      <formula>0</formula>
    </cfRule>
  </conditionalFormatting>
  <conditionalFormatting sqref="T61">
    <cfRule type="cellIs" dxfId="1756" priority="5" operator="lessThan">
      <formula>0</formula>
    </cfRule>
    <cfRule type="cellIs" dxfId="1755" priority="6" operator="greaterThan">
      <formula>0</formula>
    </cfRule>
  </conditionalFormatting>
  <conditionalFormatting sqref="O62 Q62 T62">
    <cfRule type="cellIs" dxfId="1754" priority="3" operator="lessThan">
      <formula>0</formula>
    </cfRule>
    <cfRule type="cellIs" dxfId="1753" priority="4" operator="greaterThan">
      <formula>0</formula>
    </cfRule>
  </conditionalFormatting>
  <conditionalFormatting sqref="O63 Q63 T63">
    <cfRule type="cellIs" dxfId="1752" priority="1" operator="lessThan">
      <formula>0</formula>
    </cfRule>
    <cfRule type="cellIs" dxfId="1751" priority="2" operator="greaterThan">
      <formula>0</formula>
    </cfRule>
  </conditionalFormatting>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G9" sqref="G9"/>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6.7109375" style="439" bestFit="1" customWidth="1"/>
    <col min="6" max="6" width="16.7109375" bestFit="1" customWidth="1"/>
    <col min="7" max="7" width="16.7109375" style="97" bestFit="1" customWidth="1"/>
    <col min="8" max="9" width="16.7109375" bestFit="1" customWidth="1"/>
    <col min="10" max="19" width="16.7109375" style="5" bestFit="1" customWidth="1"/>
    <col min="20" max="23" width="11.42578125" style="5"/>
    <col min="24" max="24" width="11.5703125" style="5" bestFit="1" customWidth="1"/>
    <col min="25" max="25" width="16.140625" style="5" customWidth="1"/>
    <col min="26" max="26" width="9.7109375" style="5" bestFit="1" customWidth="1"/>
    <col min="27" max="16384" width="11.42578125" style="5"/>
  </cols>
  <sheetData>
    <row r="1" spans="1:26" ht="23.25" x14ac:dyDescent="0.35">
      <c r="A1" s="156" t="s">
        <v>13</v>
      </c>
      <c r="B1" s="255"/>
      <c r="C1" s="255"/>
      <c r="X1" s="376"/>
    </row>
    <row r="2" spans="1:26" s="178" customFormat="1" ht="12.75" x14ac:dyDescent="0.2">
      <c r="B2" s="297"/>
      <c r="C2" s="297"/>
      <c r="D2" s="181">
        <f>EconomiaT40!S2+7</f>
        <v>41517</v>
      </c>
      <c r="E2" s="181">
        <f>D2+7</f>
        <v>41524</v>
      </c>
      <c r="F2" s="181">
        <f t="shared" ref="F2:S2" si="0">E2+7</f>
        <v>41531</v>
      </c>
      <c r="G2" s="181">
        <f t="shared" si="0"/>
        <v>41538</v>
      </c>
      <c r="H2" s="181">
        <f t="shared" si="0"/>
        <v>41545</v>
      </c>
      <c r="I2" s="181">
        <f t="shared" si="0"/>
        <v>41552</v>
      </c>
      <c r="J2" s="181">
        <f t="shared" si="0"/>
        <v>41559</v>
      </c>
      <c r="K2" s="181">
        <f t="shared" si="0"/>
        <v>41566</v>
      </c>
      <c r="L2" s="181">
        <f t="shared" si="0"/>
        <v>41573</v>
      </c>
      <c r="M2" s="181">
        <f t="shared" si="0"/>
        <v>41580</v>
      </c>
      <c r="N2" s="181">
        <f t="shared" si="0"/>
        <v>41587</v>
      </c>
      <c r="O2" s="181">
        <f t="shared" si="0"/>
        <v>41594</v>
      </c>
      <c r="P2" s="181">
        <f t="shared" si="0"/>
        <v>41601</v>
      </c>
      <c r="Q2" s="181">
        <f t="shared" si="0"/>
        <v>41608</v>
      </c>
      <c r="R2" s="181">
        <f t="shared" si="0"/>
        <v>41615</v>
      </c>
      <c r="S2" s="181">
        <f t="shared" si="0"/>
        <v>41622</v>
      </c>
      <c r="T2" s="181"/>
      <c r="U2" s="181"/>
      <c r="V2" s="181"/>
      <c r="W2" s="181"/>
      <c r="X2" s="181"/>
    </row>
    <row r="3" spans="1:26" s="6" customFormat="1" x14ac:dyDescent="0.25">
      <c r="A3" s="27"/>
      <c r="B3" s="27" t="s">
        <v>1581</v>
      </c>
      <c r="C3" s="27"/>
      <c r="D3" s="386" t="s">
        <v>16</v>
      </c>
      <c r="E3" s="386" t="s">
        <v>715</v>
      </c>
      <c r="F3" s="386" t="s">
        <v>702</v>
      </c>
      <c r="G3" s="386" t="s">
        <v>703</v>
      </c>
      <c r="H3" s="386" t="s">
        <v>704</v>
      </c>
      <c r="I3" s="386" t="s">
        <v>705</v>
      </c>
      <c r="J3" s="386" t="s">
        <v>21</v>
      </c>
      <c r="K3" s="386" t="s">
        <v>22</v>
      </c>
      <c r="L3" s="386" t="s">
        <v>23</v>
      </c>
      <c r="M3" s="386" t="s">
        <v>17</v>
      </c>
      <c r="N3" s="386" t="s">
        <v>18</v>
      </c>
      <c r="O3" s="386" t="s">
        <v>24</v>
      </c>
      <c r="P3" s="386" t="s">
        <v>25</v>
      </c>
      <c r="Q3" s="386" t="s">
        <v>26</v>
      </c>
      <c r="R3" s="386" t="s">
        <v>27</v>
      </c>
      <c r="S3" s="386" t="s">
        <v>28</v>
      </c>
    </row>
    <row r="4" spans="1:26" s="6" customFormat="1" x14ac:dyDescent="0.25">
      <c r="A4" s="27"/>
      <c r="B4" s="298"/>
      <c r="C4" s="298" t="s">
        <v>42</v>
      </c>
      <c r="D4" s="215">
        <f>EconomiaT40!S4+(270/30)</f>
        <v>1882</v>
      </c>
      <c r="E4" s="215">
        <f>D4+(D11/30)</f>
        <v>1889</v>
      </c>
      <c r="F4" s="215">
        <f t="shared" ref="F4:R4" si="1">E4+(E11/30)</f>
        <v>1895</v>
      </c>
      <c r="G4" s="215">
        <f t="shared" si="1"/>
        <v>1903</v>
      </c>
      <c r="H4" s="215">
        <f t="shared" si="1"/>
        <v>1913</v>
      </c>
      <c r="I4" s="215">
        <f t="shared" si="1"/>
        <v>1923</v>
      </c>
      <c r="J4" s="215">
        <f t="shared" si="1"/>
        <v>1933</v>
      </c>
      <c r="K4" s="215">
        <f t="shared" si="1"/>
        <v>1943</v>
      </c>
      <c r="L4" s="215">
        <f t="shared" si="1"/>
        <v>1953</v>
      </c>
      <c r="M4" s="215">
        <f t="shared" si="1"/>
        <v>1963</v>
      </c>
      <c r="N4" s="215">
        <f t="shared" si="1"/>
        <v>1971</v>
      </c>
      <c r="O4" s="215">
        <f t="shared" si="1"/>
        <v>1975</v>
      </c>
      <c r="P4" s="215">
        <f t="shared" si="1"/>
        <v>1981</v>
      </c>
      <c r="Q4" s="215">
        <f t="shared" si="1"/>
        <v>1981</v>
      </c>
      <c r="R4" s="215">
        <f t="shared" si="1"/>
        <v>1985</v>
      </c>
      <c r="S4" s="215">
        <f>R4+(R11/30)</f>
        <v>1985</v>
      </c>
    </row>
    <row r="5" spans="1:26" s="7" customFormat="1" ht="18.75" x14ac:dyDescent="0.3">
      <c r="A5" s="29" t="s">
        <v>12</v>
      </c>
      <c r="B5" s="29"/>
      <c r="C5" s="296">
        <f>EconomiaT40!S24</f>
        <v>571847</v>
      </c>
      <c r="D5" s="197">
        <f>C5</f>
        <v>571847</v>
      </c>
      <c r="E5" s="197">
        <f>D24</f>
        <v>429900</v>
      </c>
      <c r="F5" s="197">
        <f t="shared" ref="F5:S5" si="2">E24</f>
        <v>1252109</v>
      </c>
      <c r="G5" s="197">
        <f t="shared" si="2"/>
        <v>1839240</v>
      </c>
      <c r="H5" s="197">
        <f t="shared" si="2"/>
        <v>1507913</v>
      </c>
      <c r="I5" s="197">
        <f t="shared" si="2"/>
        <v>1514075</v>
      </c>
      <c r="J5" s="197">
        <f t="shared" si="2"/>
        <v>1773956</v>
      </c>
      <c r="K5" s="197">
        <f t="shared" si="2"/>
        <v>3021496</v>
      </c>
      <c r="L5" s="197">
        <f t="shared" si="2"/>
        <v>2656326</v>
      </c>
      <c r="M5" s="197">
        <f t="shared" si="2"/>
        <v>3083971</v>
      </c>
      <c r="N5" s="197">
        <f t="shared" si="2"/>
        <v>1249579</v>
      </c>
      <c r="O5" s="197">
        <f t="shared" si="2"/>
        <v>2907121</v>
      </c>
      <c r="P5" s="197">
        <f t="shared" si="2"/>
        <v>3237938</v>
      </c>
      <c r="Q5" s="197">
        <f t="shared" si="2"/>
        <v>3048199</v>
      </c>
      <c r="R5" s="197">
        <f t="shared" si="2"/>
        <v>574938</v>
      </c>
      <c r="S5" s="197">
        <f t="shared" si="2"/>
        <v>1005045</v>
      </c>
    </row>
    <row r="6" spans="1:26" x14ac:dyDescent="0.25">
      <c r="A6" s="8" t="s">
        <v>0</v>
      </c>
      <c r="B6" s="8" t="s">
        <v>0</v>
      </c>
      <c r="C6" s="199">
        <f>SUM(D6:S6)</f>
        <v>3204319</v>
      </c>
      <c r="D6" s="200">
        <v>34650</v>
      </c>
      <c r="E6" s="200">
        <f>385913+51183</f>
        <v>437096</v>
      </c>
      <c r="F6" s="200">
        <v>6863</v>
      </c>
      <c r="G6" s="200">
        <v>372857</v>
      </c>
      <c r="H6" s="200">
        <v>5942</v>
      </c>
      <c r="I6" s="200">
        <f>413006+16703</f>
        <v>429709</v>
      </c>
      <c r="J6" s="200">
        <v>7220</v>
      </c>
      <c r="K6" s="200">
        <v>11413</v>
      </c>
      <c r="L6" s="200">
        <v>396933</v>
      </c>
      <c r="M6" s="200">
        <v>411540</v>
      </c>
      <c r="N6" s="200">
        <v>10794</v>
      </c>
      <c r="O6" s="200">
        <v>433223</v>
      </c>
      <c r="P6" s="200">
        <v>13515</v>
      </c>
      <c r="Q6" s="200">
        <v>445919</v>
      </c>
      <c r="R6" s="200">
        <v>14817</v>
      </c>
      <c r="S6" s="200">
        <f>163229+8599</f>
        <v>171828</v>
      </c>
      <c r="Y6" s="8" t="s">
        <v>0</v>
      </c>
      <c r="Z6" s="219">
        <f>C6/$C$13</f>
        <v>0.17537956536688171</v>
      </c>
    </row>
    <row r="7" spans="1:26" x14ac:dyDescent="0.25">
      <c r="A7" s="8" t="s">
        <v>2</v>
      </c>
      <c r="B7" s="8" t="s">
        <v>2</v>
      </c>
      <c r="C7" s="199">
        <f t="shared" ref="C7:C23" si="3">SUM(D7:S7)</f>
        <v>1647107</v>
      </c>
      <c r="D7" s="202">
        <v>85447</v>
      </c>
      <c r="E7" s="202">
        <v>89730</v>
      </c>
      <c r="F7" s="202">
        <v>96575</v>
      </c>
      <c r="G7" s="202">
        <v>100460</v>
      </c>
      <c r="H7" s="202">
        <v>102865</v>
      </c>
      <c r="I7" s="202">
        <v>104160</v>
      </c>
      <c r="J7" s="202">
        <v>105085</v>
      </c>
      <c r="K7" s="202">
        <v>105640</v>
      </c>
      <c r="L7" s="202">
        <f>K7+400+150+5</f>
        <v>106195</v>
      </c>
      <c r="M7" s="202">
        <f>L7+600-40-5</f>
        <v>106750</v>
      </c>
      <c r="N7" s="202">
        <f>M7+200-15</f>
        <v>106935</v>
      </c>
      <c r="O7" s="202">
        <f>N7+200-15</f>
        <v>107120</v>
      </c>
      <c r="P7" s="202">
        <f>O7+200+170</f>
        <v>107490</v>
      </c>
      <c r="Q7" s="202">
        <v>107490</v>
      </c>
      <c r="R7" s="202">
        <f>Q7+200-15</f>
        <v>107675</v>
      </c>
      <c r="S7" s="202">
        <v>107490</v>
      </c>
      <c r="Y7" s="8" t="s">
        <v>2</v>
      </c>
      <c r="Z7" s="219">
        <f t="shared" ref="Z7:Z12" si="4">C7/$C$13</f>
        <v>9.014986016459299E-2</v>
      </c>
    </row>
    <row r="8" spans="1:26" x14ac:dyDescent="0.25">
      <c r="A8" s="8" t="s">
        <v>3</v>
      </c>
      <c r="B8" s="8" t="s">
        <v>48</v>
      </c>
      <c r="C8" s="199">
        <f t="shared" si="3"/>
        <v>10384719</v>
      </c>
      <c r="D8" s="200">
        <v>0</v>
      </c>
      <c r="E8" s="200">
        <v>0</v>
      </c>
      <c r="F8" s="200">
        <v>46500</v>
      </c>
      <c r="G8" s="200">
        <v>1662500</v>
      </c>
      <c r="H8" s="200">
        <v>186000</v>
      </c>
      <c r="I8" s="200">
        <v>0</v>
      </c>
      <c r="J8" s="200">
        <v>37195</v>
      </c>
      <c r="K8" s="200">
        <v>2324995</v>
      </c>
      <c r="L8" s="200">
        <v>2589123</v>
      </c>
      <c r="M8" s="200">
        <v>0</v>
      </c>
      <c r="N8" s="200">
        <v>1859995</v>
      </c>
      <c r="O8" s="200">
        <v>97416</v>
      </c>
      <c r="P8" s="200">
        <v>0</v>
      </c>
      <c r="Q8" s="200">
        <v>0</v>
      </c>
      <c r="R8" s="200">
        <v>650995</v>
      </c>
      <c r="S8" s="200">
        <f>372000+558000</f>
        <v>930000</v>
      </c>
      <c r="Y8" s="8" t="s">
        <v>48</v>
      </c>
      <c r="Z8" s="219">
        <f t="shared" si="4"/>
        <v>0.56837896123238618</v>
      </c>
    </row>
    <row r="9" spans="1:26" x14ac:dyDescent="0.25">
      <c r="A9" s="8"/>
      <c r="B9" s="8" t="s">
        <v>820</v>
      </c>
      <c r="C9" s="199">
        <f t="shared" si="3"/>
        <v>2658944</v>
      </c>
      <c r="D9" s="200">
        <v>0</v>
      </c>
      <c r="E9" s="200">
        <v>545547</v>
      </c>
      <c r="F9" s="200">
        <v>701697</v>
      </c>
      <c r="G9" s="200">
        <v>2850</v>
      </c>
      <c r="H9" s="200">
        <v>12350</v>
      </c>
      <c r="I9" s="200">
        <v>0</v>
      </c>
      <c r="J9" s="200">
        <v>1376550</v>
      </c>
      <c r="K9" s="200">
        <v>0</v>
      </c>
      <c r="L9" s="200">
        <v>0</v>
      </c>
      <c r="M9" s="200">
        <v>19950</v>
      </c>
      <c r="N9" s="200">
        <v>0</v>
      </c>
      <c r="O9" s="200">
        <v>0</v>
      </c>
      <c r="P9" s="200">
        <v>0</v>
      </c>
      <c r="Q9" s="200">
        <v>0</v>
      </c>
      <c r="R9" s="200">
        <v>0</v>
      </c>
      <c r="S9" s="200">
        <v>0</v>
      </c>
      <c r="Y9" s="8" t="s">
        <v>820</v>
      </c>
      <c r="Z9" s="219">
        <f t="shared" si="4"/>
        <v>0.14552996847532282</v>
      </c>
    </row>
    <row r="10" spans="1:26" x14ac:dyDescent="0.25">
      <c r="A10" s="8" t="s">
        <v>5</v>
      </c>
      <c r="B10" s="8" t="s">
        <v>5</v>
      </c>
      <c r="C10" s="199">
        <f t="shared" si="3"/>
        <v>197006</v>
      </c>
      <c r="D10" s="202">
        <v>4090</v>
      </c>
      <c r="E10" s="202">
        <v>20000</v>
      </c>
      <c r="F10" s="202">
        <v>11600</v>
      </c>
      <c r="G10" s="202">
        <v>0</v>
      </c>
      <c r="H10" s="202">
        <v>825</v>
      </c>
      <c r="I10" s="202">
        <v>22280</v>
      </c>
      <c r="J10" s="202">
        <v>13500</v>
      </c>
      <c r="K10" s="202">
        <v>3778</v>
      </c>
      <c r="L10" s="202">
        <v>0</v>
      </c>
      <c r="M10" s="202">
        <v>80640</v>
      </c>
      <c r="N10" s="202">
        <v>0</v>
      </c>
      <c r="O10" s="202">
        <v>4500</v>
      </c>
      <c r="P10" s="202">
        <v>0</v>
      </c>
      <c r="Q10" s="202">
        <v>9390</v>
      </c>
      <c r="R10" s="202">
        <v>0</v>
      </c>
      <c r="S10" s="202">
        <v>26403</v>
      </c>
      <c r="Y10" s="8" t="s">
        <v>5</v>
      </c>
      <c r="Z10" s="219">
        <f t="shared" si="4"/>
        <v>1.0782580215848641E-2</v>
      </c>
    </row>
    <row r="11" spans="1:26" x14ac:dyDescent="0.25">
      <c r="A11" s="728" t="s">
        <v>7</v>
      </c>
      <c r="B11" s="8" t="s">
        <v>42</v>
      </c>
      <c r="C11" s="199">
        <f t="shared" si="3"/>
        <v>62939</v>
      </c>
      <c r="D11" s="202">
        <f>90+120</f>
        <v>210</v>
      </c>
      <c r="E11" s="202">
        <f>150+30</f>
        <v>180</v>
      </c>
      <c r="F11" s="202">
        <v>240</v>
      </c>
      <c r="G11" s="202">
        <v>300</v>
      </c>
      <c r="H11" s="202">
        <f t="shared" ref="H11:L11" si="5">G11</f>
        <v>300</v>
      </c>
      <c r="I11" s="202">
        <f t="shared" si="5"/>
        <v>300</v>
      </c>
      <c r="J11" s="202">
        <f t="shared" si="5"/>
        <v>300</v>
      </c>
      <c r="K11" s="202">
        <f t="shared" si="5"/>
        <v>300</v>
      </c>
      <c r="L11" s="202">
        <f t="shared" si="5"/>
        <v>300</v>
      </c>
      <c r="M11" s="202">
        <v>240</v>
      </c>
      <c r="N11" s="202">
        <v>120</v>
      </c>
      <c r="O11" s="202">
        <v>180</v>
      </c>
      <c r="P11" s="202">
        <v>0</v>
      </c>
      <c r="Q11" s="202">
        <v>120</v>
      </c>
      <c r="R11" s="202">
        <v>0</v>
      </c>
      <c r="S11" s="202">
        <f>(S4*30)+180+119</f>
        <v>59849</v>
      </c>
      <c r="Y11" s="8" t="s">
        <v>19</v>
      </c>
      <c r="Z11" s="219">
        <f t="shared" si="4"/>
        <v>3.4447926266473992E-3</v>
      </c>
    </row>
    <row r="12" spans="1:26" x14ac:dyDescent="0.25">
      <c r="A12" s="729"/>
      <c r="B12" s="8" t="s">
        <v>51</v>
      </c>
      <c r="C12" s="199">
        <f t="shared" si="3"/>
        <v>115732</v>
      </c>
      <c r="D12" s="202">
        <v>0</v>
      </c>
      <c r="E12" s="202">
        <v>0</v>
      </c>
      <c r="F12" s="202">
        <v>0</v>
      </c>
      <c r="G12" s="202">
        <v>0</v>
      </c>
      <c r="H12" s="202">
        <v>0</v>
      </c>
      <c r="I12" s="202">
        <v>0</v>
      </c>
      <c r="J12" s="202">
        <v>0</v>
      </c>
      <c r="K12" s="202">
        <v>0</v>
      </c>
      <c r="L12" s="202">
        <v>0</v>
      </c>
      <c r="M12" s="202">
        <v>0</v>
      </c>
      <c r="N12" s="202">
        <v>0</v>
      </c>
      <c r="O12" s="202">
        <v>0</v>
      </c>
      <c r="P12" s="202">
        <v>0</v>
      </c>
      <c r="Q12" s="202">
        <v>0</v>
      </c>
      <c r="R12" s="202">
        <v>0</v>
      </c>
      <c r="S12" s="202">
        <v>115732</v>
      </c>
      <c r="Y12" s="8" t="s">
        <v>51</v>
      </c>
      <c r="Z12" s="219">
        <f t="shared" si="4"/>
        <v>6.3342719183202278E-3</v>
      </c>
    </row>
    <row r="13" spans="1:26" s="21" customFormat="1" ht="18.75" x14ac:dyDescent="0.3">
      <c r="A13" s="19" t="s">
        <v>14</v>
      </c>
      <c r="B13" s="20"/>
      <c r="C13" s="203">
        <f t="shared" si="3"/>
        <v>18270766</v>
      </c>
      <c r="D13" s="204">
        <f t="shared" ref="D13:I13" si="6">SUM(D6:D12)</f>
        <v>124397</v>
      </c>
      <c r="E13" s="204">
        <f t="shared" si="6"/>
        <v>1092553</v>
      </c>
      <c r="F13" s="204">
        <f t="shared" si="6"/>
        <v>863475</v>
      </c>
      <c r="G13" s="204">
        <f>G12+G11+G10+G9+G8+G7+G6</f>
        <v>2138967</v>
      </c>
      <c r="H13" s="204">
        <f t="shared" si="6"/>
        <v>308282</v>
      </c>
      <c r="I13" s="204">
        <f t="shared" si="6"/>
        <v>556449</v>
      </c>
      <c r="J13" s="204">
        <f t="shared" ref="J13:S13" si="7">SUM(J6:J12)</f>
        <v>1539850</v>
      </c>
      <c r="K13" s="204">
        <f t="shared" si="7"/>
        <v>2446126</v>
      </c>
      <c r="L13" s="204">
        <f t="shared" si="7"/>
        <v>3092551</v>
      </c>
      <c r="M13" s="204">
        <f t="shared" si="7"/>
        <v>619120</v>
      </c>
      <c r="N13" s="204">
        <f t="shared" si="7"/>
        <v>1977844</v>
      </c>
      <c r="O13" s="204">
        <f t="shared" si="7"/>
        <v>642439</v>
      </c>
      <c r="P13" s="204">
        <f t="shared" si="7"/>
        <v>121005</v>
      </c>
      <c r="Q13" s="204">
        <f t="shared" si="7"/>
        <v>562919</v>
      </c>
      <c r="R13" s="204">
        <f t="shared" si="7"/>
        <v>773487</v>
      </c>
      <c r="S13" s="204">
        <f t="shared" si="7"/>
        <v>1411302</v>
      </c>
      <c r="Z13" s="222">
        <f>SUM(Z6:Z12)</f>
        <v>1</v>
      </c>
    </row>
    <row r="14" spans="1:26" ht="18.75" x14ac:dyDescent="0.3">
      <c r="A14" s="22" t="s">
        <v>1</v>
      </c>
      <c r="B14" s="23" t="str">
        <f>A14</f>
        <v>Sueldos</v>
      </c>
      <c r="C14" s="206">
        <f t="shared" si="3"/>
        <v>3177462</v>
      </c>
      <c r="D14" s="207">
        <v>176366</v>
      </c>
      <c r="E14" s="207">
        <v>176366</v>
      </c>
      <c r="F14" s="207">
        <f t="shared" ref="F14:Q14" si="8">E14</f>
        <v>176366</v>
      </c>
      <c r="G14" s="207">
        <v>174440</v>
      </c>
      <c r="H14" s="207">
        <v>196942</v>
      </c>
      <c r="I14" s="207">
        <v>190390</v>
      </c>
      <c r="J14" s="207">
        <v>191520</v>
      </c>
      <c r="K14" s="207">
        <v>196666</v>
      </c>
      <c r="L14" s="207">
        <v>203928</v>
      </c>
      <c r="M14" s="207">
        <v>197244</v>
      </c>
      <c r="N14" s="207">
        <v>214924</v>
      </c>
      <c r="O14" s="207">
        <v>207644</v>
      </c>
      <c r="P14" s="207">
        <v>206766</v>
      </c>
      <c r="Q14" s="207">
        <f t="shared" si="8"/>
        <v>206766</v>
      </c>
      <c r="R14" s="207">
        <v>233402</v>
      </c>
      <c r="S14" s="207">
        <v>227732</v>
      </c>
      <c r="Y14" s="744">
        <f>C13</f>
        <v>18270766</v>
      </c>
      <c r="Z14" s="745"/>
    </row>
    <row r="15" spans="1:26" x14ac:dyDescent="0.25">
      <c r="A15" s="22" t="s">
        <v>29</v>
      </c>
      <c r="B15" s="23" t="str">
        <f>A15</f>
        <v xml:space="preserve">Mantenimiento </v>
      </c>
      <c r="C15" s="206">
        <f t="shared" si="3"/>
        <v>470048</v>
      </c>
      <c r="D15" s="207">
        <v>29378</v>
      </c>
      <c r="E15" s="207">
        <f t="shared" ref="E15:P15" si="9">D15</f>
        <v>29378</v>
      </c>
      <c r="F15" s="207">
        <f t="shared" si="9"/>
        <v>29378</v>
      </c>
      <c r="G15" s="207">
        <f t="shared" si="9"/>
        <v>29378</v>
      </c>
      <c r="H15" s="207">
        <f t="shared" si="9"/>
        <v>29378</v>
      </c>
      <c r="I15" s="207">
        <f t="shared" si="9"/>
        <v>29378</v>
      </c>
      <c r="J15" s="207">
        <f t="shared" si="9"/>
        <v>29378</v>
      </c>
      <c r="K15" s="207">
        <f t="shared" si="9"/>
        <v>29378</v>
      </c>
      <c r="L15" s="207">
        <f t="shared" si="9"/>
        <v>29378</v>
      </c>
      <c r="M15" s="207">
        <f t="shared" si="9"/>
        <v>29378</v>
      </c>
      <c r="N15" s="207">
        <f t="shared" si="9"/>
        <v>29378</v>
      </c>
      <c r="O15" s="207">
        <f t="shared" si="9"/>
        <v>29378</v>
      </c>
      <c r="P15" s="207">
        <f t="shared" si="9"/>
        <v>29378</v>
      </c>
      <c r="Q15" s="207">
        <v>29378</v>
      </c>
      <c r="R15" s="207">
        <f>Q15</f>
        <v>29378</v>
      </c>
      <c r="S15" s="207">
        <f>R15</f>
        <v>29378</v>
      </c>
    </row>
    <row r="16" spans="1:26" x14ac:dyDescent="0.25">
      <c r="A16" s="22" t="s">
        <v>4</v>
      </c>
      <c r="B16" s="23" t="s">
        <v>30</v>
      </c>
      <c r="C16" s="206">
        <f t="shared" si="3"/>
        <v>0</v>
      </c>
      <c r="D16" s="207">
        <v>0</v>
      </c>
      <c r="E16" s="207">
        <v>0</v>
      </c>
      <c r="F16" s="207">
        <v>0</v>
      </c>
      <c r="G16" s="207">
        <v>0</v>
      </c>
      <c r="H16" s="207">
        <v>0</v>
      </c>
      <c r="I16" s="207">
        <v>0</v>
      </c>
      <c r="J16" s="207">
        <v>0</v>
      </c>
      <c r="K16" s="207">
        <v>0</v>
      </c>
      <c r="L16" s="207">
        <v>0</v>
      </c>
      <c r="M16" s="207">
        <v>0</v>
      </c>
      <c r="N16" s="207">
        <v>0</v>
      </c>
      <c r="O16" s="207">
        <v>0</v>
      </c>
      <c r="P16" s="207">
        <v>0</v>
      </c>
      <c r="Q16" s="207">
        <v>0</v>
      </c>
      <c r="R16" s="207">
        <v>0</v>
      </c>
      <c r="S16" s="207">
        <v>0</v>
      </c>
    </row>
    <row r="17" spans="1:26" x14ac:dyDescent="0.25">
      <c r="A17" s="22" t="s">
        <v>6</v>
      </c>
      <c r="B17" s="23" t="str">
        <f>A17</f>
        <v>Empleados</v>
      </c>
      <c r="C17" s="206">
        <f t="shared" si="3"/>
        <v>741600</v>
      </c>
      <c r="D17" s="207">
        <f>EconomiaT39!S17</f>
        <v>39600</v>
      </c>
      <c r="E17" s="207">
        <f>D17</f>
        <v>39600</v>
      </c>
      <c r="F17" s="207">
        <v>39600</v>
      </c>
      <c r="G17" s="207">
        <v>46800</v>
      </c>
      <c r="H17" s="207">
        <f t="shared" ref="H17:R17" si="10">G17</f>
        <v>46800</v>
      </c>
      <c r="I17" s="207">
        <f t="shared" si="10"/>
        <v>46800</v>
      </c>
      <c r="J17" s="207">
        <f t="shared" si="10"/>
        <v>46800</v>
      </c>
      <c r="K17" s="207">
        <f t="shared" si="10"/>
        <v>46800</v>
      </c>
      <c r="L17" s="207">
        <f t="shared" si="10"/>
        <v>46800</v>
      </c>
      <c r="M17" s="207">
        <v>48600</v>
      </c>
      <c r="N17" s="207">
        <v>45000</v>
      </c>
      <c r="O17" s="207">
        <v>48600</v>
      </c>
      <c r="P17" s="207">
        <f t="shared" si="10"/>
        <v>48600</v>
      </c>
      <c r="Q17" s="207">
        <f>P17</f>
        <v>48600</v>
      </c>
      <c r="R17" s="207">
        <f t="shared" si="10"/>
        <v>48600</v>
      </c>
      <c r="S17" s="207">
        <v>54000</v>
      </c>
    </row>
    <row r="18" spans="1:26" x14ac:dyDescent="0.25">
      <c r="A18" s="22" t="s">
        <v>8</v>
      </c>
      <c r="B18" s="23" t="str">
        <f>A18</f>
        <v>Juveniles</v>
      </c>
      <c r="C18" s="206">
        <f t="shared" si="3"/>
        <v>320000</v>
      </c>
      <c r="D18" s="207">
        <f>EconomiaT38!S18</f>
        <v>20000</v>
      </c>
      <c r="E18" s="207">
        <f>D18</f>
        <v>20000</v>
      </c>
      <c r="F18" s="207">
        <f t="shared" ref="F18:P18" si="11">E18</f>
        <v>20000</v>
      </c>
      <c r="G18" s="207">
        <f t="shared" si="11"/>
        <v>20000</v>
      </c>
      <c r="H18" s="207">
        <f t="shared" si="11"/>
        <v>20000</v>
      </c>
      <c r="I18" s="207">
        <f t="shared" si="11"/>
        <v>20000</v>
      </c>
      <c r="J18" s="207">
        <f t="shared" si="11"/>
        <v>20000</v>
      </c>
      <c r="K18" s="207">
        <f t="shared" si="11"/>
        <v>20000</v>
      </c>
      <c r="L18" s="207">
        <f t="shared" si="11"/>
        <v>20000</v>
      </c>
      <c r="M18" s="207">
        <f t="shared" si="11"/>
        <v>20000</v>
      </c>
      <c r="N18" s="207">
        <f t="shared" si="11"/>
        <v>20000</v>
      </c>
      <c r="O18" s="207">
        <f t="shared" si="11"/>
        <v>20000</v>
      </c>
      <c r="P18" s="207">
        <f t="shared" si="11"/>
        <v>20000</v>
      </c>
      <c r="Q18" s="207">
        <f>P18</f>
        <v>20000</v>
      </c>
      <c r="R18" s="207">
        <f>Q18</f>
        <v>20000</v>
      </c>
      <c r="S18" s="207">
        <f>R18</f>
        <v>20000</v>
      </c>
    </row>
    <row r="19" spans="1:26" x14ac:dyDescent="0.25">
      <c r="A19" s="22" t="s">
        <v>9</v>
      </c>
      <c r="B19" s="23" t="s">
        <v>50</v>
      </c>
      <c r="C19" s="206">
        <f t="shared" si="3"/>
        <v>13848738</v>
      </c>
      <c r="D19" s="207">
        <v>0</v>
      </c>
      <c r="E19" s="207">
        <v>0</v>
      </c>
      <c r="F19" s="207">
        <v>0</v>
      </c>
      <c r="G19" s="207">
        <f>2166000+20676</f>
        <v>2186676</v>
      </c>
      <c r="H19" s="207">
        <v>0</v>
      </c>
      <c r="I19" s="207">
        <v>0</v>
      </c>
      <c r="J19" s="207">
        <v>2612</v>
      </c>
      <c r="K19" s="207">
        <f>2516452</f>
        <v>2516452</v>
      </c>
      <c r="L19" s="207">
        <f>2341000+7140+6000+660</f>
        <v>2354800</v>
      </c>
      <c r="M19" s="207">
        <v>2143690</v>
      </c>
      <c r="N19" s="207">
        <v>0</v>
      </c>
      <c r="O19" s="207">
        <v>0</v>
      </c>
      <c r="P19" s="207">
        <v>0</v>
      </c>
      <c r="Q19" s="207">
        <v>2721436</v>
      </c>
      <c r="R19" s="207">
        <v>0</v>
      </c>
      <c r="S19" s="207">
        <f>1088820+834252</f>
        <v>1923072</v>
      </c>
    </row>
    <row r="20" spans="1:26" x14ac:dyDescent="0.25">
      <c r="A20" s="24" t="s">
        <v>7</v>
      </c>
      <c r="B20" s="23" t="s">
        <v>11</v>
      </c>
      <c r="C20" s="206">
        <f t="shared" si="3"/>
        <v>0</v>
      </c>
      <c r="D20" s="207">
        <v>0</v>
      </c>
      <c r="E20" s="207">
        <v>0</v>
      </c>
      <c r="F20" s="207">
        <v>0</v>
      </c>
      <c r="G20" s="207">
        <v>0</v>
      </c>
      <c r="H20" s="207">
        <v>0</v>
      </c>
      <c r="I20" s="207">
        <v>0</v>
      </c>
      <c r="J20" s="207">
        <v>0</v>
      </c>
      <c r="K20" s="207">
        <v>0</v>
      </c>
      <c r="L20" s="207">
        <v>0</v>
      </c>
      <c r="M20" s="207">
        <v>0</v>
      </c>
      <c r="N20" s="207">
        <v>0</v>
      </c>
      <c r="O20" s="207">
        <v>0</v>
      </c>
      <c r="P20" s="207">
        <v>0</v>
      </c>
      <c r="Q20" s="207">
        <v>0</v>
      </c>
      <c r="R20" s="207">
        <v>0</v>
      </c>
      <c r="S20" s="207"/>
    </row>
    <row r="21" spans="1:26" x14ac:dyDescent="0.25">
      <c r="A21" s="24"/>
      <c r="B21" s="23" t="s">
        <v>818</v>
      </c>
      <c r="C21" s="206">
        <f t="shared" si="3"/>
        <v>135600</v>
      </c>
      <c r="D21" s="207">
        <v>1000</v>
      </c>
      <c r="E21" s="207">
        <v>5000</v>
      </c>
      <c r="F21" s="207">
        <v>11000</v>
      </c>
      <c r="G21" s="207">
        <v>13000</v>
      </c>
      <c r="H21" s="207">
        <v>9000</v>
      </c>
      <c r="I21" s="207">
        <v>10000</v>
      </c>
      <c r="J21" s="207">
        <v>2000</v>
      </c>
      <c r="K21" s="207">
        <v>2000</v>
      </c>
      <c r="L21" s="207">
        <v>10000</v>
      </c>
      <c r="M21" s="207">
        <v>14600</v>
      </c>
      <c r="N21" s="207">
        <v>11000</v>
      </c>
      <c r="O21" s="207">
        <v>6000</v>
      </c>
      <c r="P21" s="207">
        <f t="shared" ref="P21" si="12">O21</f>
        <v>6000</v>
      </c>
      <c r="Q21" s="207">
        <v>10000</v>
      </c>
      <c r="R21" s="207">
        <v>12000</v>
      </c>
      <c r="S21" s="207">
        <v>13000</v>
      </c>
    </row>
    <row r="22" spans="1:26" x14ac:dyDescent="0.25">
      <c r="A22" s="22" t="s">
        <v>10</v>
      </c>
      <c r="B22" s="23" t="str">
        <f>A22</f>
        <v>Intereses</v>
      </c>
      <c r="C22" s="206">
        <f t="shared" si="3"/>
        <v>0</v>
      </c>
      <c r="D22" s="207">
        <v>0</v>
      </c>
      <c r="E22" s="207">
        <v>0</v>
      </c>
      <c r="F22" s="207">
        <v>0</v>
      </c>
      <c r="G22" s="207">
        <v>0</v>
      </c>
      <c r="H22" s="207">
        <v>0</v>
      </c>
      <c r="I22" s="207">
        <v>0</v>
      </c>
      <c r="J22" s="207">
        <v>0</v>
      </c>
      <c r="K22" s="207">
        <v>0</v>
      </c>
      <c r="L22" s="207">
        <v>0</v>
      </c>
      <c r="M22" s="207">
        <v>0</v>
      </c>
      <c r="N22" s="207">
        <v>0</v>
      </c>
      <c r="O22" s="207">
        <v>0</v>
      </c>
      <c r="P22" s="207">
        <v>0</v>
      </c>
      <c r="Q22" s="207">
        <v>0</v>
      </c>
      <c r="R22" s="207">
        <v>0</v>
      </c>
      <c r="S22" s="207">
        <v>0</v>
      </c>
    </row>
    <row r="23" spans="1:26" s="31" customFormat="1" ht="18.75" x14ac:dyDescent="0.3">
      <c r="A23" s="25" t="s">
        <v>15</v>
      </c>
      <c r="B23" s="26"/>
      <c r="C23" s="209">
        <f t="shared" si="3"/>
        <v>18693448</v>
      </c>
      <c r="D23" s="210">
        <f t="shared" ref="D23:S23" si="13">SUM(D14:D22)</f>
        <v>266344</v>
      </c>
      <c r="E23" s="210">
        <f t="shared" si="13"/>
        <v>270344</v>
      </c>
      <c r="F23" s="210">
        <f t="shared" si="13"/>
        <v>276344</v>
      </c>
      <c r="G23" s="210">
        <f t="shared" si="13"/>
        <v>2470294</v>
      </c>
      <c r="H23" s="210">
        <f t="shared" si="13"/>
        <v>302120</v>
      </c>
      <c r="I23" s="210">
        <f t="shared" si="13"/>
        <v>296568</v>
      </c>
      <c r="J23" s="210">
        <f t="shared" si="13"/>
        <v>292310</v>
      </c>
      <c r="K23" s="210">
        <f t="shared" si="13"/>
        <v>2811296</v>
      </c>
      <c r="L23" s="210">
        <f t="shared" si="13"/>
        <v>2664906</v>
      </c>
      <c r="M23" s="210">
        <f t="shared" si="13"/>
        <v>2453512</v>
      </c>
      <c r="N23" s="210">
        <f t="shared" si="13"/>
        <v>320302</v>
      </c>
      <c r="O23" s="210">
        <f t="shared" si="13"/>
        <v>311622</v>
      </c>
      <c r="P23" s="210">
        <f t="shared" si="13"/>
        <v>310744</v>
      </c>
      <c r="Q23" s="210">
        <f t="shared" si="13"/>
        <v>3036180</v>
      </c>
      <c r="R23" s="210">
        <f t="shared" si="13"/>
        <v>343380</v>
      </c>
      <c r="S23" s="210">
        <f t="shared" si="13"/>
        <v>2267182</v>
      </c>
      <c r="Y23" s="23" t="s">
        <v>1</v>
      </c>
      <c r="Z23" s="220">
        <f>C14/$C$23</f>
        <v>0.16997730969695907</v>
      </c>
    </row>
    <row r="24" spans="1:26" s="7" customFormat="1" ht="18.75" x14ac:dyDescent="0.3">
      <c r="A24" s="9" t="s">
        <v>20</v>
      </c>
      <c r="B24" s="9"/>
      <c r="C24" s="197">
        <f>C5+C13-C23</f>
        <v>149165</v>
      </c>
      <c r="D24" s="197">
        <f t="shared" ref="D24:S24" si="14">D5+D13-D23</f>
        <v>429900</v>
      </c>
      <c r="E24" s="197">
        <f t="shared" si="14"/>
        <v>1252109</v>
      </c>
      <c r="F24" s="197">
        <f t="shared" si="14"/>
        <v>1839240</v>
      </c>
      <c r="G24" s="197">
        <f t="shared" si="14"/>
        <v>1507913</v>
      </c>
      <c r="H24" s="197">
        <f t="shared" si="14"/>
        <v>1514075</v>
      </c>
      <c r="I24" s="197">
        <f t="shared" si="14"/>
        <v>1773956</v>
      </c>
      <c r="J24" s="197">
        <f t="shared" si="14"/>
        <v>3021496</v>
      </c>
      <c r="K24" s="197">
        <f t="shared" si="14"/>
        <v>2656326</v>
      </c>
      <c r="L24" s="197">
        <f t="shared" si="14"/>
        <v>3083971</v>
      </c>
      <c r="M24" s="197">
        <f t="shared" si="14"/>
        <v>1249579</v>
      </c>
      <c r="N24" s="197">
        <f t="shared" si="14"/>
        <v>2907121</v>
      </c>
      <c r="O24" s="197">
        <f t="shared" si="14"/>
        <v>3237938</v>
      </c>
      <c r="P24" s="197">
        <f t="shared" si="14"/>
        <v>3048199</v>
      </c>
      <c r="Q24" s="197">
        <f t="shared" si="14"/>
        <v>574938</v>
      </c>
      <c r="R24" s="197">
        <f t="shared" si="14"/>
        <v>1005045</v>
      </c>
      <c r="S24" s="197">
        <f t="shared" si="14"/>
        <v>149165</v>
      </c>
      <c r="Y24" s="23" t="s">
        <v>29</v>
      </c>
      <c r="Z24" s="220">
        <f t="shared" ref="Z24:Z31" si="15">C15/$C$23</f>
        <v>2.5145066870488526E-2</v>
      </c>
    </row>
    <row r="25" spans="1:26" s="178" customFormat="1" x14ac:dyDescent="0.25">
      <c r="A25" s="182"/>
      <c r="B25" s="182"/>
      <c r="C25" s="182"/>
      <c r="D25" s="183">
        <f>D2+6</f>
        <v>41523</v>
      </c>
      <c r="E25" s="183">
        <f>D25+7</f>
        <v>41530</v>
      </c>
      <c r="F25" s="183">
        <f t="shared" ref="F25:S25" si="16">E25+7</f>
        <v>41537</v>
      </c>
      <c r="G25" s="183">
        <f t="shared" si="16"/>
        <v>41544</v>
      </c>
      <c r="H25" s="183">
        <f t="shared" si="16"/>
        <v>41551</v>
      </c>
      <c r="I25" s="183">
        <f t="shared" si="16"/>
        <v>41558</v>
      </c>
      <c r="J25" s="183">
        <f t="shared" si="16"/>
        <v>41565</v>
      </c>
      <c r="K25" s="183">
        <f t="shared" si="16"/>
        <v>41572</v>
      </c>
      <c r="L25" s="183">
        <f t="shared" si="16"/>
        <v>41579</v>
      </c>
      <c r="M25" s="183">
        <f t="shared" si="16"/>
        <v>41586</v>
      </c>
      <c r="N25" s="183">
        <f t="shared" si="16"/>
        <v>41593</v>
      </c>
      <c r="O25" s="183">
        <f t="shared" si="16"/>
        <v>41600</v>
      </c>
      <c r="P25" s="183">
        <f t="shared" si="16"/>
        <v>41607</v>
      </c>
      <c r="Q25" s="183">
        <f t="shared" si="16"/>
        <v>41614</v>
      </c>
      <c r="R25" s="183">
        <f t="shared" si="16"/>
        <v>41621</v>
      </c>
      <c r="S25" s="183">
        <f t="shared" si="16"/>
        <v>41628</v>
      </c>
      <c r="Y25" s="23" t="s">
        <v>30</v>
      </c>
      <c r="Z25" s="220">
        <f t="shared" si="15"/>
        <v>0</v>
      </c>
    </row>
    <row r="26" spans="1:26" s="178" customFormat="1" x14ac:dyDescent="0.25">
      <c r="A26" s="732" t="s">
        <v>942</v>
      </c>
      <c r="B26" s="732"/>
      <c r="C26" s="223">
        <f>C6+C7+C11</f>
        <v>4914365</v>
      </c>
      <c r="D26" s="223">
        <f t="shared" ref="D26:S26" si="17">D6+D7+D11</f>
        <v>120307</v>
      </c>
      <c r="E26" s="223">
        <f t="shared" si="17"/>
        <v>527006</v>
      </c>
      <c r="F26" s="223">
        <f t="shared" si="17"/>
        <v>103678</v>
      </c>
      <c r="G26" s="223">
        <f t="shared" si="17"/>
        <v>473617</v>
      </c>
      <c r="H26" s="223">
        <f t="shared" si="17"/>
        <v>109107</v>
      </c>
      <c r="I26" s="223">
        <f>I6+I7+I11</f>
        <v>534169</v>
      </c>
      <c r="J26" s="223">
        <f>J6+J7+J11</f>
        <v>112605</v>
      </c>
      <c r="K26" s="223">
        <f t="shared" si="17"/>
        <v>117353</v>
      </c>
      <c r="L26" s="223">
        <f t="shared" si="17"/>
        <v>503428</v>
      </c>
      <c r="M26" s="223">
        <f t="shared" si="17"/>
        <v>518530</v>
      </c>
      <c r="N26" s="223">
        <f t="shared" si="17"/>
        <v>117849</v>
      </c>
      <c r="O26" s="223">
        <f t="shared" si="17"/>
        <v>540523</v>
      </c>
      <c r="P26" s="223">
        <f t="shared" si="17"/>
        <v>121005</v>
      </c>
      <c r="Q26" s="223">
        <f t="shared" si="17"/>
        <v>553529</v>
      </c>
      <c r="R26" s="223">
        <f t="shared" si="17"/>
        <v>122492</v>
      </c>
      <c r="S26" s="223">
        <f t="shared" si="17"/>
        <v>339167</v>
      </c>
      <c r="T26" s="194"/>
      <c r="Y26" s="23" t="s">
        <v>6</v>
      </c>
      <c r="Z26" s="220">
        <f t="shared" si="15"/>
        <v>3.9671653939925902E-2</v>
      </c>
    </row>
    <row r="27" spans="1:26" s="178" customFormat="1" x14ac:dyDescent="0.25">
      <c r="A27" s="733" t="s">
        <v>943</v>
      </c>
      <c r="B27" s="733"/>
      <c r="C27" s="224">
        <f>C14+C15+C17+C18+C21</f>
        <v>4844710</v>
      </c>
      <c r="D27" s="224">
        <f t="shared" ref="D27:S27" si="18">D14+D15+D17+D18+D21</f>
        <v>266344</v>
      </c>
      <c r="E27" s="224">
        <f t="shared" si="18"/>
        <v>270344</v>
      </c>
      <c r="F27" s="224">
        <f t="shared" si="18"/>
        <v>276344</v>
      </c>
      <c r="G27" s="224">
        <f t="shared" si="18"/>
        <v>283618</v>
      </c>
      <c r="H27" s="224">
        <f t="shared" si="18"/>
        <v>302120</v>
      </c>
      <c r="I27" s="224">
        <f t="shared" si="18"/>
        <v>296568</v>
      </c>
      <c r="J27" s="224">
        <f t="shared" si="18"/>
        <v>289698</v>
      </c>
      <c r="K27" s="224">
        <f t="shared" si="18"/>
        <v>294844</v>
      </c>
      <c r="L27" s="224">
        <f t="shared" si="18"/>
        <v>310106</v>
      </c>
      <c r="M27" s="224">
        <f t="shared" si="18"/>
        <v>309822</v>
      </c>
      <c r="N27" s="224">
        <f t="shared" si="18"/>
        <v>320302</v>
      </c>
      <c r="O27" s="224">
        <f t="shared" si="18"/>
        <v>311622</v>
      </c>
      <c r="P27" s="224">
        <f t="shared" si="18"/>
        <v>310744</v>
      </c>
      <c r="Q27" s="224">
        <f t="shared" si="18"/>
        <v>314744</v>
      </c>
      <c r="R27" s="224">
        <f t="shared" si="18"/>
        <v>343380</v>
      </c>
      <c r="S27" s="224">
        <f t="shared" si="18"/>
        <v>344110</v>
      </c>
      <c r="T27" s="195"/>
      <c r="Y27" s="23" t="s">
        <v>8</v>
      </c>
      <c r="Z27" s="220">
        <f t="shared" si="15"/>
        <v>1.7118297277206432E-2</v>
      </c>
    </row>
    <row r="28" spans="1:26" x14ac:dyDescent="0.25">
      <c r="A28" s="734" t="s">
        <v>944</v>
      </c>
      <c r="B28" s="734"/>
      <c r="C28" s="212">
        <f>C26-C27</f>
        <v>69655</v>
      </c>
      <c r="D28" s="212">
        <f t="shared" ref="D28:S28" si="19">D26-D27</f>
        <v>-146037</v>
      </c>
      <c r="E28" s="212">
        <f t="shared" si="19"/>
        <v>256662</v>
      </c>
      <c r="F28" s="212">
        <f t="shared" si="19"/>
        <v>-172666</v>
      </c>
      <c r="G28" s="212">
        <f t="shared" si="19"/>
        <v>189999</v>
      </c>
      <c r="H28" s="212">
        <f t="shared" si="19"/>
        <v>-193013</v>
      </c>
      <c r="I28" s="212">
        <f t="shared" si="19"/>
        <v>237601</v>
      </c>
      <c r="J28" s="212">
        <f t="shared" si="19"/>
        <v>-177093</v>
      </c>
      <c r="K28" s="212">
        <f t="shared" si="19"/>
        <v>-177491</v>
      </c>
      <c r="L28" s="212">
        <f t="shared" si="19"/>
        <v>193322</v>
      </c>
      <c r="M28" s="212">
        <f t="shared" si="19"/>
        <v>208708</v>
      </c>
      <c r="N28" s="212">
        <f t="shared" si="19"/>
        <v>-202453</v>
      </c>
      <c r="O28" s="212">
        <f t="shared" si="19"/>
        <v>228901</v>
      </c>
      <c r="P28" s="212">
        <f t="shared" si="19"/>
        <v>-189739</v>
      </c>
      <c r="Q28" s="212">
        <f t="shared" si="19"/>
        <v>238785</v>
      </c>
      <c r="R28" s="212">
        <f t="shared" si="19"/>
        <v>-220888</v>
      </c>
      <c r="S28" s="212">
        <f t="shared" si="19"/>
        <v>-4943</v>
      </c>
      <c r="T28" s="192"/>
      <c r="Y28" s="23" t="s">
        <v>50</v>
      </c>
      <c r="Z28" s="220">
        <f t="shared" si="15"/>
        <v>0.74083379374420388</v>
      </c>
    </row>
    <row r="29" spans="1:26" x14ac:dyDescent="0.25">
      <c r="A29" s="732" t="s">
        <v>945</v>
      </c>
      <c r="B29" s="732"/>
      <c r="C29" s="223">
        <f>C8+C9+C10+C12</f>
        <v>13356401</v>
      </c>
      <c r="D29" s="223">
        <f t="shared" ref="D29:S29" si="20">D8+D9+D10+D12</f>
        <v>4090</v>
      </c>
      <c r="E29" s="223">
        <f t="shared" si="20"/>
        <v>565547</v>
      </c>
      <c r="F29" s="223">
        <f t="shared" si="20"/>
        <v>759797</v>
      </c>
      <c r="G29" s="223">
        <f t="shared" si="20"/>
        <v>1665350</v>
      </c>
      <c r="H29" s="223">
        <f t="shared" si="20"/>
        <v>199175</v>
      </c>
      <c r="I29" s="223">
        <f t="shared" si="20"/>
        <v>22280</v>
      </c>
      <c r="J29" s="223">
        <f t="shared" si="20"/>
        <v>1427245</v>
      </c>
      <c r="K29" s="223">
        <f t="shared" si="20"/>
        <v>2328773</v>
      </c>
      <c r="L29" s="223">
        <f t="shared" si="20"/>
        <v>2589123</v>
      </c>
      <c r="M29" s="223">
        <f t="shared" si="20"/>
        <v>100590</v>
      </c>
      <c r="N29" s="223">
        <f t="shared" si="20"/>
        <v>1859995</v>
      </c>
      <c r="O29" s="223">
        <f t="shared" si="20"/>
        <v>101916</v>
      </c>
      <c r="P29" s="223">
        <f t="shared" si="20"/>
        <v>0</v>
      </c>
      <c r="Q29" s="223">
        <f t="shared" si="20"/>
        <v>9390</v>
      </c>
      <c r="R29" s="223">
        <f t="shared" si="20"/>
        <v>650995</v>
      </c>
      <c r="S29" s="223">
        <f t="shared" si="20"/>
        <v>1072135</v>
      </c>
      <c r="T29" s="192"/>
      <c r="Y29" s="23" t="s">
        <v>11</v>
      </c>
      <c r="Z29" s="220">
        <f t="shared" si="15"/>
        <v>0</v>
      </c>
    </row>
    <row r="30" spans="1:26" s="6" customFormat="1" x14ac:dyDescent="0.25">
      <c r="A30" s="733" t="s">
        <v>946</v>
      </c>
      <c r="B30" s="733"/>
      <c r="C30" s="224">
        <f>C16+C19+C20+C22</f>
        <v>13848738</v>
      </c>
      <c r="D30" s="224">
        <f t="shared" ref="D30:S30" si="21">D16+D19+D20+D22</f>
        <v>0</v>
      </c>
      <c r="E30" s="224">
        <f t="shared" si="21"/>
        <v>0</v>
      </c>
      <c r="F30" s="224">
        <f t="shared" si="21"/>
        <v>0</v>
      </c>
      <c r="G30" s="224">
        <f t="shared" si="21"/>
        <v>2186676</v>
      </c>
      <c r="H30" s="224">
        <f t="shared" si="21"/>
        <v>0</v>
      </c>
      <c r="I30" s="224">
        <f t="shared" si="21"/>
        <v>0</v>
      </c>
      <c r="J30" s="224">
        <f t="shared" si="21"/>
        <v>2612</v>
      </c>
      <c r="K30" s="224">
        <f t="shared" si="21"/>
        <v>2516452</v>
      </c>
      <c r="L30" s="224">
        <f t="shared" si="21"/>
        <v>2354800</v>
      </c>
      <c r="M30" s="224">
        <f t="shared" si="21"/>
        <v>2143690</v>
      </c>
      <c r="N30" s="224">
        <f t="shared" si="21"/>
        <v>0</v>
      </c>
      <c r="O30" s="224">
        <f t="shared" si="21"/>
        <v>0</v>
      </c>
      <c r="P30" s="224">
        <f t="shared" si="21"/>
        <v>0</v>
      </c>
      <c r="Q30" s="224">
        <f t="shared" si="21"/>
        <v>2721436</v>
      </c>
      <c r="R30" s="224">
        <f t="shared" si="21"/>
        <v>0</v>
      </c>
      <c r="S30" s="224">
        <f t="shared" si="21"/>
        <v>1923072</v>
      </c>
      <c r="Y30" s="23" t="s">
        <v>818</v>
      </c>
      <c r="Z30" s="220">
        <f t="shared" si="15"/>
        <v>7.253878471216225E-3</v>
      </c>
    </row>
    <row r="31" spans="1:26" s="6" customFormat="1" x14ac:dyDescent="0.25">
      <c r="A31" s="734" t="s">
        <v>947</v>
      </c>
      <c r="B31" s="734"/>
      <c r="C31" s="212">
        <f>C29-C30</f>
        <v>-492337</v>
      </c>
      <c r="D31" s="212">
        <f t="shared" ref="D31:S31" si="22">D29-D30</f>
        <v>4090</v>
      </c>
      <c r="E31" s="212">
        <f t="shared" si="22"/>
        <v>565547</v>
      </c>
      <c r="F31" s="212">
        <f t="shared" si="22"/>
        <v>759797</v>
      </c>
      <c r="G31" s="212">
        <f t="shared" si="22"/>
        <v>-521326</v>
      </c>
      <c r="H31" s="212">
        <f t="shared" si="22"/>
        <v>199175</v>
      </c>
      <c r="I31" s="212">
        <f t="shared" si="22"/>
        <v>22280</v>
      </c>
      <c r="J31" s="212">
        <f t="shared" si="22"/>
        <v>1424633</v>
      </c>
      <c r="K31" s="212">
        <f t="shared" si="22"/>
        <v>-187679</v>
      </c>
      <c r="L31" s="212">
        <f t="shared" si="22"/>
        <v>234323</v>
      </c>
      <c r="M31" s="212">
        <f t="shared" si="22"/>
        <v>-2043100</v>
      </c>
      <c r="N31" s="212">
        <f t="shared" si="22"/>
        <v>1859995</v>
      </c>
      <c r="O31" s="212">
        <f t="shared" si="22"/>
        <v>101916</v>
      </c>
      <c r="P31" s="212">
        <f t="shared" si="22"/>
        <v>0</v>
      </c>
      <c r="Q31" s="212">
        <f t="shared" si="22"/>
        <v>-2712046</v>
      </c>
      <c r="R31" s="212">
        <f t="shared" si="22"/>
        <v>650995</v>
      </c>
      <c r="S31" s="212">
        <f t="shared" si="22"/>
        <v>-850937</v>
      </c>
      <c r="Y31" s="23" t="s">
        <v>10</v>
      </c>
      <c r="Z31" s="220">
        <f t="shared" si="15"/>
        <v>0</v>
      </c>
    </row>
    <row r="32" spans="1:26" s="6" customFormat="1" ht="18.75" x14ac:dyDescent="0.3">
      <c r="A32" s="192"/>
      <c r="B32" s="192"/>
      <c r="C32" s="192"/>
      <c r="D32" s="192"/>
      <c r="E32" s="192"/>
      <c r="F32" s="192"/>
      <c r="G32" s="192"/>
      <c r="H32" s="192"/>
      <c r="I32" s="192"/>
      <c r="J32" s="192"/>
      <c r="K32" s="192"/>
      <c r="L32" s="192"/>
      <c r="M32" s="192"/>
      <c r="N32" s="192"/>
      <c r="O32" s="192"/>
      <c r="P32" s="192"/>
      <c r="Q32" s="192"/>
      <c r="R32" s="192"/>
      <c r="S32" s="192"/>
      <c r="Z32" s="221">
        <f>SUM(Z23:Z31)</f>
        <v>1</v>
      </c>
    </row>
    <row r="33" spans="1:26" s="6" customFormat="1" ht="18.75" x14ac:dyDescent="0.3">
      <c r="A33" s="27"/>
      <c r="B33" s="752" t="s">
        <v>821</v>
      </c>
      <c r="C33" s="167" t="s">
        <v>819</v>
      </c>
      <c r="D33" s="189">
        <v>9618001</v>
      </c>
      <c r="E33" s="189">
        <v>9618001</v>
      </c>
      <c r="F33" s="189">
        <v>9618001</v>
      </c>
      <c r="G33" s="189">
        <v>11784001</v>
      </c>
      <c r="H33" s="189">
        <v>11784001</v>
      </c>
      <c r="I33" s="189">
        <v>11784001</v>
      </c>
      <c r="J33" s="189">
        <v>11784001</v>
      </c>
      <c r="K33" s="189">
        <v>12184001</v>
      </c>
      <c r="L33" s="189">
        <v>12513001</v>
      </c>
      <c r="M33" s="189">
        <f>'A-P_T41'!$C$14</f>
        <v>17138000</v>
      </c>
      <c r="N33" s="189">
        <v>14638001</v>
      </c>
      <c r="O33" s="189">
        <v>14638001</v>
      </c>
      <c r="P33" s="189">
        <v>14638001</v>
      </c>
      <c r="Q33" s="189">
        <v>17239001</v>
      </c>
      <c r="R33" s="189">
        <v>17239001</v>
      </c>
      <c r="S33" s="189">
        <f>'A-P_T41'!$C$14</f>
        <v>17138000</v>
      </c>
      <c r="Y33" s="746">
        <f>C23</f>
        <v>18693448</v>
      </c>
      <c r="Z33" s="747"/>
    </row>
    <row r="34" spans="1:26" x14ac:dyDescent="0.25">
      <c r="A34" s="27"/>
      <c r="B34" s="753"/>
      <c r="C34" s="167" t="s">
        <v>481</v>
      </c>
      <c r="D34" s="189">
        <v>11242420</v>
      </c>
      <c r="E34" s="189">
        <v>11242420</v>
      </c>
      <c r="F34" s="189">
        <v>11242420</v>
      </c>
      <c r="G34" s="189">
        <v>11242420</v>
      </c>
      <c r="H34" s="189">
        <v>10838420</v>
      </c>
      <c r="I34" s="189">
        <v>10838420</v>
      </c>
      <c r="J34" s="189">
        <v>10838420</v>
      </c>
      <c r="K34" s="189">
        <v>10838420</v>
      </c>
      <c r="L34" s="189">
        <v>10838420</v>
      </c>
      <c r="M34" s="189">
        <f>'A-P_T41'!$C$13</f>
        <v>10608420</v>
      </c>
      <c r="N34" s="189">
        <v>10838420</v>
      </c>
      <c r="O34" s="189">
        <v>10838420</v>
      </c>
      <c r="P34" s="189">
        <v>10838420</v>
      </c>
      <c r="Q34" s="189">
        <v>10838420</v>
      </c>
      <c r="R34" s="189">
        <v>9988420</v>
      </c>
      <c r="S34" s="189">
        <f>'A-P_T41'!$C$13</f>
        <v>10608420</v>
      </c>
    </row>
    <row r="35" spans="1:26" x14ac:dyDescent="0.25">
      <c r="A35" s="27"/>
      <c r="B35" s="753"/>
      <c r="C35" s="167" t="s">
        <v>1385</v>
      </c>
      <c r="D35" s="189">
        <v>33000</v>
      </c>
      <c r="E35" s="189">
        <v>33000</v>
      </c>
      <c r="F35" s="189">
        <v>33000</v>
      </c>
      <c r="G35" s="189">
        <v>33000</v>
      </c>
      <c r="H35" s="189">
        <v>33000</v>
      </c>
      <c r="I35" s="189">
        <v>33000</v>
      </c>
      <c r="J35" s="189">
        <v>2000</v>
      </c>
      <c r="K35" s="189">
        <v>33000</v>
      </c>
      <c r="L35" s="189">
        <v>33000</v>
      </c>
      <c r="M35" s="189">
        <f>'A-P_T41'!$C$15+'A-P_T40'!$C$12</f>
        <v>133240</v>
      </c>
      <c r="N35" s="189">
        <v>33000</v>
      </c>
      <c r="O35" s="189">
        <v>33000</v>
      </c>
      <c r="P35" s="189">
        <v>33000</v>
      </c>
      <c r="Q35" s="189">
        <v>100240</v>
      </c>
      <c r="R35" s="189">
        <v>133240</v>
      </c>
      <c r="S35" s="189">
        <f>'A-P_T41'!$C$15+'A-P_T40'!$C$12</f>
        <v>133240</v>
      </c>
    </row>
    <row r="36" spans="1:26" x14ac:dyDescent="0.25">
      <c r="A36" s="27"/>
      <c r="B36" s="754"/>
      <c r="C36" s="299" t="s">
        <v>291</v>
      </c>
      <c r="D36" s="300">
        <v>20893421</v>
      </c>
      <c r="E36" s="300">
        <v>20893421</v>
      </c>
      <c r="F36" s="300">
        <v>20893421</v>
      </c>
      <c r="G36" s="300">
        <v>23059421</v>
      </c>
      <c r="H36" s="300">
        <v>22655421</v>
      </c>
      <c r="I36" s="300">
        <v>22655421</v>
      </c>
      <c r="J36" s="300">
        <v>22624421</v>
      </c>
      <c r="K36" s="300">
        <v>23055421</v>
      </c>
      <c r="L36" s="300">
        <v>23384421</v>
      </c>
      <c r="M36" s="300">
        <f t="shared" ref="M36:S36" si="23">M35+M34+M33</f>
        <v>27879660</v>
      </c>
      <c r="N36" s="300">
        <v>25509421</v>
      </c>
      <c r="O36" s="300">
        <v>25509421</v>
      </c>
      <c r="P36" s="300">
        <v>25509421</v>
      </c>
      <c r="Q36" s="300">
        <v>28177661</v>
      </c>
      <c r="R36" s="300">
        <v>27360661</v>
      </c>
      <c r="S36" s="300">
        <f t="shared" si="23"/>
        <v>27879660</v>
      </c>
    </row>
    <row r="37" spans="1:26" x14ac:dyDescent="0.25">
      <c r="C37" s="192"/>
      <c r="D37" s="247"/>
      <c r="E37" s="247"/>
      <c r="J37"/>
      <c r="K37"/>
    </row>
    <row r="38" spans="1:26" x14ac:dyDescent="0.25">
      <c r="H38" s="440"/>
      <c r="I38" s="440"/>
      <c r="J38" s="247"/>
      <c r="K38"/>
    </row>
    <row r="39" spans="1:26" ht="15" customHeight="1" x14ac:dyDescent="0.25">
      <c r="H39" s="440"/>
      <c r="I39" s="18"/>
      <c r="J39"/>
      <c r="K39"/>
    </row>
    <row r="40" spans="1:26" ht="15" customHeight="1" x14ac:dyDescent="0.25">
      <c r="H40" s="731"/>
      <c r="I40" s="731"/>
      <c r="J40" s="731"/>
      <c r="K40" s="731"/>
    </row>
    <row r="41" spans="1:26" x14ac:dyDescent="0.25">
      <c r="H41" s="440"/>
      <c r="I41" s="440"/>
      <c r="J41" s="440"/>
      <c r="K41" s="440"/>
    </row>
    <row r="42" spans="1:26" x14ac:dyDescent="0.25">
      <c r="H42" s="440"/>
      <c r="I42" s="440"/>
      <c r="J42" s="440"/>
      <c r="K42" s="440"/>
    </row>
    <row r="43" spans="1:26" x14ac:dyDescent="0.25">
      <c r="H43" s="440"/>
      <c r="I43" s="440"/>
      <c r="J43" s="440"/>
      <c r="K43" s="440"/>
    </row>
    <row r="44" spans="1:26" x14ac:dyDescent="0.25">
      <c r="H44" s="440"/>
      <c r="I44" s="440"/>
      <c r="J44" s="440"/>
      <c r="K44" s="440"/>
    </row>
    <row r="45" spans="1:26" x14ac:dyDescent="0.25">
      <c r="H45" s="440"/>
      <c r="I45" s="440"/>
      <c r="J45" s="440"/>
      <c r="K45" s="440"/>
    </row>
    <row r="46" spans="1:26" x14ac:dyDescent="0.25">
      <c r="H46" s="440"/>
      <c r="I46" s="440"/>
      <c r="J46" s="440"/>
      <c r="K46" s="440"/>
    </row>
    <row r="47" spans="1:26" x14ac:dyDescent="0.25">
      <c r="H47" s="440"/>
      <c r="I47" s="440"/>
      <c r="J47" s="440"/>
      <c r="K47" s="440"/>
    </row>
    <row r="48" spans="1:26" x14ac:dyDescent="0.25">
      <c r="H48" s="440"/>
      <c r="I48" s="440"/>
      <c r="J48" s="440"/>
      <c r="K48" s="440"/>
    </row>
    <row r="49" spans="8:11" x14ac:dyDescent="0.25">
      <c r="H49" s="727"/>
      <c r="I49" s="727"/>
      <c r="J49" s="727"/>
      <c r="K49" s="727"/>
    </row>
    <row r="50" spans="8:11" x14ac:dyDescent="0.25">
      <c r="H50" s="440"/>
      <c r="I50" s="440"/>
      <c r="J50" s="440"/>
      <c r="K50" s="440"/>
    </row>
    <row r="51" spans="8:11" x14ac:dyDescent="0.25">
      <c r="H51" s="727"/>
      <c r="I51" s="727"/>
      <c r="J51" s="727"/>
      <c r="K51" s="727"/>
    </row>
    <row r="52" spans="8:11" ht="15" customHeight="1" x14ac:dyDescent="0.25">
      <c r="H52" s="727"/>
      <c r="I52" s="727"/>
      <c r="J52" s="727"/>
      <c r="K52" s="4"/>
    </row>
  </sheetData>
  <mergeCells count="15">
    <mergeCell ref="Y33:Z33"/>
    <mergeCell ref="H40:I40"/>
    <mergeCell ref="J40:K40"/>
    <mergeCell ref="A11:A12"/>
    <mergeCell ref="Y14:Z14"/>
    <mergeCell ref="A26:B26"/>
    <mergeCell ref="A27:B27"/>
    <mergeCell ref="A28:B28"/>
    <mergeCell ref="A29:B29"/>
    <mergeCell ref="H49:K49"/>
    <mergeCell ref="H51:K51"/>
    <mergeCell ref="H52:J52"/>
    <mergeCell ref="A30:B30"/>
    <mergeCell ref="A31:B31"/>
    <mergeCell ref="B33:B36"/>
  </mergeCells>
  <pageMargins left="0.7" right="0.7" top="0.75" bottom="0.75" header="0.3" footer="0.3"/>
  <pageSetup paperSize="9" orientation="portrait" horizontalDpi="200" verticalDpi="200" r:id="rId1"/>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K8" sqref="K8"/>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17" bestFit="1" customWidth="1"/>
    <col min="6" max="6" width="18" style="225" bestFit="1" customWidth="1"/>
    <col min="7" max="7" width="6.5703125" style="225" bestFit="1" customWidth="1"/>
    <col min="8" max="8" width="2.85546875" customWidth="1"/>
    <col min="9" max="9" width="7.42578125" bestFit="1" customWidth="1"/>
    <col min="10" max="10" width="17.42578125" style="2" bestFit="1" customWidth="1"/>
    <col min="11" max="11" width="12.7109375" bestFit="1" customWidth="1"/>
    <col min="12" max="12" width="10" bestFit="1" customWidth="1"/>
    <col min="13" max="13" width="12.7109375" bestFit="1" customWidth="1"/>
    <col min="14" max="14" width="11.42578125" bestFit="1" customWidth="1"/>
    <col min="15" max="16" width="12.7109375" bestFit="1" customWidth="1"/>
    <col min="17" max="17" width="7.5703125" style="321" bestFit="1" customWidth="1"/>
    <col min="18" max="18" width="9" bestFit="1" customWidth="1"/>
    <col min="19" max="19" width="9.28515625" bestFit="1" customWidth="1"/>
    <col min="20" max="20" width="11" bestFit="1" customWidth="1"/>
  </cols>
  <sheetData>
    <row r="1" spans="2:20" ht="9" customHeight="1" x14ac:dyDescent="0.25"/>
    <row r="2" spans="2:20" ht="21" x14ac:dyDescent="0.35">
      <c r="B2" s="735" t="s">
        <v>1671</v>
      </c>
      <c r="C2" s="736"/>
      <c r="D2" s="736"/>
      <c r="E2" s="736"/>
      <c r="F2" s="736"/>
      <c r="G2" s="757"/>
      <c r="I2" s="456" t="s">
        <v>1672</v>
      </c>
      <c r="J2" s="457"/>
      <c r="K2" s="457"/>
      <c r="L2" s="457"/>
      <c r="M2" s="457"/>
      <c r="N2" s="457"/>
      <c r="O2" s="457"/>
      <c r="P2" s="457"/>
      <c r="Q2" s="457"/>
      <c r="R2" s="457"/>
      <c r="S2" s="457"/>
      <c r="T2" s="458"/>
    </row>
    <row r="3" spans="2:20" x14ac:dyDescent="0.25">
      <c r="B3" s="755" t="s">
        <v>1025</v>
      </c>
      <c r="C3" s="749"/>
      <c r="D3" s="749"/>
      <c r="E3" s="749"/>
      <c r="F3" s="749"/>
      <c r="G3" s="756"/>
      <c r="I3" s="346" t="s">
        <v>36</v>
      </c>
      <c r="J3" s="17" t="s">
        <v>481</v>
      </c>
      <c r="K3" s="17" t="s">
        <v>50</v>
      </c>
      <c r="L3" s="17" t="s">
        <v>1332</v>
      </c>
      <c r="M3" s="17" t="s">
        <v>879</v>
      </c>
      <c r="N3" s="17" t="s">
        <v>1333</v>
      </c>
      <c r="O3" s="17" t="s">
        <v>950</v>
      </c>
      <c r="P3" s="17" t="s">
        <v>1336</v>
      </c>
      <c r="Q3" s="406" t="s">
        <v>1326</v>
      </c>
      <c r="R3" s="345" t="s">
        <v>1337</v>
      </c>
      <c r="S3" s="345" t="s">
        <v>1334</v>
      </c>
      <c r="T3" s="345" t="s">
        <v>1335</v>
      </c>
    </row>
    <row r="4" spans="2:20" ht="18.75" x14ac:dyDescent="0.3">
      <c r="B4" s="759" t="s">
        <v>948</v>
      </c>
      <c r="C4" s="760"/>
      <c r="D4" s="268"/>
      <c r="E4" s="761" t="s">
        <v>949</v>
      </c>
      <c r="F4" s="762"/>
      <c r="G4" s="268"/>
      <c r="I4" s="187" t="s">
        <v>1006</v>
      </c>
      <c r="J4" s="336" t="s">
        <v>1243</v>
      </c>
      <c r="K4" s="333">
        <v>1450000</v>
      </c>
      <c r="L4" s="333"/>
      <c r="M4" s="333">
        <v>0</v>
      </c>
      <c r="N4" s="333">
        <v>0</v>
      </c>
      <c r="O4" s="343">
        <f t="shared" ref="O4:O27" si="0">IF(M4=0,0,M4-K4)-N4</f>
        <v>0</v>
      </c>
      <c r="P4" s="333">
        <f t="shared" ref="P4:P17" si="1">IF(M4=0,K4,0)</f>
        <v>1450000</v>
      </c>
      <c r="Q4" s="403"/>
      <c r="R4" s="347">
        <v>41179</v>
      </c>
      <c r="S4" s="347"/>
      <c r="T4" s="344"/>
    </row>
    <row r="5" spans="2:20" x14ac:dyDescent="0.25">
      <c r="B5" s="243"/>
      <c r="C5" s="244"/>
      <c r="D5" s="423"/>
      <c r="E5" s="243"/>
      <c r="F5" s="244"/>
      <c r="G5" s="269"/>
      <c r="I5" s="334" t="s">
        <v>1004</v>
      </c>
      <c r="J5" s="337" t="s">
        <v>1015</v>
      </c>
      <c r="K5" s="335">
        <v>101001</v>
      </c>
      <c r="L5" s="335"/>
      <c r="M5" s="335">
        <v>1999995</v>
      </c>
      <c r="N5" s="335">
        <v>140000</v>
      </c>
      <c r="O5" s="335">
        <f t="shared" si="0"/>
        <v>1758994</v>
      </c>
      <c r="P5" s="335">
        <f t="shared" si="1"/>
        <v>0</v>
      </c>
      <c r="Q5" s="405">
        <f>O5/K5</f>
        <v>17.415609746438154</v>
      </c>
      <c r="R5" s="348">
        <v>40956</v>
      </c>
      <c r="S5" s="348">
        <v>41588</v>
      </c>
      <c r="T5" s="353">
        <f>O5/((S5-R5)/7)</f>
        <v>19482.528481012658</v>
      </c>
    </row>
    <row r="6" spans="2:20" x14ac:dyDescent="0.25">
      <c r="B6" s="226" t="s">
        <v>951</v>
      </c>
      <c r="C6" s="242">
        <f>SUM(C7:C9)</f>
        <v>2756575</v>
      </c>
      <c r="D6" s="304">
        <f>C6/$C$34</f>
        <v>5.6230049610219983E-2</v>
      </c>
      <c r="E6" s="226" t="s">
        <v>1329</v>
      </c>
      <c r="F6" s="242">
        <f>F7+F8+F9</f>
        <v>24221843</v>
      </c>
      <c r="G6" s="271">
        <f>F6/$F$34</f>
        <v>0.4940897430837034</v>
      </c>
      <c r="I6" s="187" t="s">
        <v>1004</v>
      </c>
      <c r="J6" s="336" t="s">
        <v>1017</v>
      </c>
      <c r="K6" s="333">
        <v>0</v>
      </c>
      <c r="L6" s="333"/>
      <c r="M6" s="333">
        <v>0</v>
      </c>
      <c r="N6" s="333">
        <v>0</v>
      </c>
      <c r="O6" s="343">
        <f t="shared" si="0"/>
        <v>0</v>
      </c>
      <c r="P6" s="333">
        <f t="shared" si="1"/>
        <v>0</v>
      </c>
      <c r="Q6" s="403"/>
      <c r="R6" s="347">
        <v>40993</v>
      </c>
      <c r="S6" s="347"/>
      <c r="T6" s="344"/>
    </row>
    <row r="7" spans="2:20" x14ac:dyDescent="0.25">
      <c r="B7" s="249" t="s">
        <v>30</v>
      </c>
      <c r="C7" s="250">
        <f>'A-P_T40'!C7+EconomiaT41!C16</f>
        <v>2164475</v>
      </c>
      <c r="D7" s="424">
        <f>C7/$C$34</f>
        <v>4.4152086059722991E-2</v>
      </c>
      <c r="E7" s="425" t="s">
        <v>1029</v>
      </c>
      <c r="F7" s="237">
        <v>300000</v>
      </c>
      <c r="G7" s="272">
        <f>F7/$F$34</f>
        <v>6.1195559283045067E-3</v>
      </c>
      <c r="I7" s="334" t="s">
        <v>1004</v>
      </c>
      <c r="J7" s="337" t="s">
        <v>1247</v>
      </c>
      <c r="K7" s="335">
        <v>0</v>
      </c>
      <c r="L7" s="335"/>
      <c r="M7" s="335">
        <v>1750000</v>
      </c>
      <c r="N7" s="335">
        <f>M7-1662500</f>
        <v>87500</v>
      </c>
      <c r="O7" s="335">
        <f t="shared" si="0"/>
        <v>1662500</v>
      </c>
      <c r="P7" s="335">
        <f t="shared" si="1"/>
        <v>0</v>
      </c>
      <c r="Q7" s="441" t="s">
        <v>1327</v>
      </c>
      <c r="R7" s="348">
        <v>41097</v>
      </c>
      <c r="S7" s="348">
        <v>41542</v>
      </c>
      <c r="T7" s="353">
        <f>O7/((S7-R7)/7)</f>
        <v>26151.685393258427</v>
      </c>
    </row>
    <row r="8" spans="2:20" x14ac:dyDescent="0.25">
      <c r="B8" s="249" t="s">
        <v>11</v>
      </c>
      <c r="C8" s="250">
        <f>'A-P_T40'!C8+'A-P_T40'!C9+EconomiaT41!C20</f>
        <v>592100</v>
      </c>
      <c r="D8" s="424">
        <f>C8/$C$34</f>
        <v>1.2077963550496994E-2</v>
      </c>
      <c r="E8" s="425" t="s">
        <v>1602</v>
      </c>
      <c r="F8" s="237">
        <f>'A-P_T40'!F9+'A-P_T40'!F8</f>
        <v>21574707</v>
      </c>
      <c r="G8" s="272">
        <f>F8/$F$34</f>
        <v>0.44009208707760911</v>
      </c>
      <c r="I8" s="34" t="s">
        <v>1198</v>
      </c>
      <c r="J8" s="345" t="s">
        <v>1584</v>
      </c>
      <c r="K8" s="278">
        <v>458000</v>
      </c>
      <c r="L8" s="278"/>
      <c r="M8" s="278">
        <v>0</v>
      </c>
      <c r="N8" s="278">
        <v>0</v>
      </c>
      <c r="O8" s="278">
        <f t="shared" si="0"/>
        <v>0</v>
      </c>
      <c r="P8" s="278">
        <v>0</v>
      </c>
      <c r="Q8" s="404"/>
      <c r="R8" s="352"/>
      <c r="S8" s="352"/>
      <c r="T8" s="351"/>
    </row>
    <row r="9" spans="2:20" x14ac:dyDescent="0.25">
      <c r="B9" s="245" t="s">
        <v>1026</v>
      </c>
      <c r="C9" s="248">
        <v>0</v>
      </c>
      <c r="D9" s="424">
        <f>C9/$C$34</f>
        <v>0</v>
      </c>
      <c r="E9" s="425" t="s">
        <v>1619</v>
      </c>
      <c r="F9" s="237">
        <f>'A-P_T40'!F11-EconomiaT40!C24+EconomiaT40!C5-81691-6972</f>
        <v>2347136</v>
      </c>
      <c r="G9" s="272">
        <f>F9/$F$34</f>
        <v>4.7878100077789754E-2</v>
      </c>
      <c r="I9" s="334" t="s">
        <v>1006</v>
      </c>
      <c r="J9" s="337" t="s">
        <v>1268</v>
      </c>
      <c r="K9" s="335">
        <v>867000</v>
      </c>
      <c r="L9" s="335"/>
      <c r="M9" s="335">
        <v>600000</v>
      </c>
      <c r="N9" s="335">
        <f>M9-558000</f>
        <v>42000</v>
      </c>
      <c r="O9" s="335">
        <f t="shared" si="0"/>
        <v>-309000</v>
      </c>
      <c r="P9" s="335">
        <f t="shared" si="1"/>
        <v>0</v>
      </c>
      <c r="Q9" s="405">
        <f>O9/K9</f>
        <v>-0.356401384083045</v>
      </c>
      <c r="R9" s="348">
        <v>41266</v>
      </c>
      <c r="S9" s="348">
        <v>41623</v>
      </c>
      <c r="T9" s="353">
        <f>O9/((S9-R9)/7)</f>
        <v>-6058.8235294117649</v>
      </c>
    </row>
    <row r="10" spans="2:20" x14ac:dyDescent="0.25">
      <c r="B10" s="228"/>
      <c r="C10" s="227"/>
      <c r="D10" s="304"/>
      <c r="E10" s="426"/>
      <c r="F10" s="227"/>
      <c r="G10" s="271"/>
      <c r="I10" s="187" t="s">
        <v>1004</v>
      </c>
      <c r="J10" s="336" t="s">
        <v>1291</v>
      </c>
      <c r="K10" s="333">
        <v>1300000</v>
      </c>
      <c r="L10" s="333"/>
      <c r="M10" s="333">
        <v>0</v>
      </c>
      <c r="N10" s="333">
        <v>0</v>
      </c>
      <c r="O10" s="343">
        <f t="shared" si="0"/>
        <v>0</v>
      </c>
      <c r="P10" s="333">
        <f t="shared" si="1"/>
        <v>1300000</v>
      </c>
      <c r="Q10" s="403"/>
      <c r="R10" s="347">
        <v>41282</v>
      </c>
      <c r="S10" s="347"/>
      <c r="T10" s="344"/>
    </row>
    <row r="11" spans="2:20" x14ac:dyDescent="0.25">
      <c r="B11" s="226" t="s">
        <v>481</v>
      </c>
      <c r="C11" s="242">
        <f>SUM(C12:C15)</f>
        <v>27846660</v>
      </c>
      <c r="D11" s="304">
        <f>C11/$C$34</f>
        <v>0.56803064428826655</v>
      </c>
      <c r="E11" s="226" t="s">
        <v>1677</v>
      </c>
      <c r="F11" s="242">
        <f>SUM(F12:F17)</f>
        <v>6228372</v>
      </c>
      <c r="G11" s="271">
        <f t="shared" ref="G11:G17" si="2">F11/$F$34</f>
        <v>0.12704956932095265</v>
      </c>
      <c r="I11" s="334" t="s">
        <v>1006</v>
      </c>
      <c r="J11" s="337" t="s">
        <v>1323</v>
      </c>
      <c r="K11" s="335">
        <v>850000</v>
      </c>
      <c r="L11" s="335"/>
      <c r="M11" s="335">
        <v>699995</v>
      </c>
      <c r="N11" s="335">
        <f>M11-650995</f>
        <v>49000</v>
      </c>
      <c r="O11" s="335">
        <f t="shared" si="0"/>
        <v>-199005</v>
      </c>
      <c r="P11" s="335">
        <f t="shared" si="1"/>
        <v>0</v>
      </c>
      <c r="Q11" s="405">
        <f>O11/K11</f>
        <v>-0.2341235294117647</v>
      </c>
      <c r="R11" s="348">
        <v>41309</v>
      </c>
      <c r="S11" s="348">
        <v>41616</v>
      </c>
      <c r="T11" s="413">
        <f>O11/((S11-R11)/7)</f>
        <v>-4537.5732899022805</v>
      </c>
    </row>
    <row r="12" spans="2:20" x14ac:dyDescent="0.25">
      <c r="B12" s="231" t="s">
        <v>1381</v>
      </c>
      <c r="C12" s="232">
        <f>SUMIF(I4:I120,"S",$P$4:$P$120)</f>
        <v>0</v>
      </c>
      <c r="D12" s="424">
        <f>C12/$C$34</f>
        <v>0</v>
      </c>
      <c r="E12" s="339" t="s">
        <v>1194</v>
      </c>
      <c r="F12" s="340">
        <f>SUMIF(I4:I120,"J",$O$4:$O$120)</f>
        <v>-754005</v>
      </c>
      <c r="G12" s="272">
        <f t="shared" si="2"/>
        <v>-1.5380585892404132E-2</v>
      </c>
      <c r="I12" s="408" t="s">
        <v>1004</v>
      </c>
      <c r="J12" s="409" t="s">
        <v>1324</v>
      </c>
      <c r="K12" s="410">
        <v>2100000</v>
      </c>
      <c r="L12" s="410"/>
      <c r="M12" s="410">
        <v>2499995</v>
      </c>
      <c r="N12" s="410">
        <f>M12-2324995</f>
        <v>175000</v>
      </c>
      <c r="O12" s="410">
        <f t="shared" si="0"/>
        <v>224995</v>
      </c>
      <c r="P12" s="410">
        <f t="shared" si="1"/>
        <v>0</v>
      </c>
      <c r="Q12" s="405">
        <f>O12/K12</f>
        <v>0.10714047619047619</v>
      </c>
      <c r="R12" s="412">
        <v>41316</v>
      </c>
      <c r="S12" s="412">
        <v>41566</v>
      </c>
      <c r="T12" s="413">
        <f>O12/((S12-R12)/7)</f>
        <v>6299.86</v>
      </c>
    </row>
    <row r="13" spans="2:20" x14ac:dyDescent="0.25">
      <c r="B13" s="231" t="s">
        <v>481</v>
      </c>
      <c r="C13" s="232">
        <f>SUMIF(I4:I120,"J",$P$4:$P$120)</f>
        <v>10608420</v>
      </c>
      <c r="D13" s="424">
        <f>C13/$C$34</f>
        <v>0.21639606500314698</v>
      </c>
      <c r="E13" s="339" t="s">
        <v>1382</v>
      </c>
      <c r="F13" s="340">
        <f>SUMIF(I4:I120,"S",$O$4:$O$120)</f>
        <v>218238</v>
      </c>
      <c r="G13" s="272">
        <f t="shared" si="2"/>
        <v>4.4517321556043965E-3</v>
      </c>
      <c r="I13" s="187" t="s">
        <v>1006</v>
      </c>
      <c r="J13" s="336" t="s">
        <v>1325</v>
      </c>
      <c r="K13" s="333">
        <v>761000</v>
      </c>
      <c r="L13" s="333"/>
      <c r="M13" s="333">
        <v>0</v>
      </c>
      <c r="N13" s="333">
        <v>0</v>
      </c>
      <c r="O13" s="343">
        <f t="shared" si="0"/>
        <v>0</v>
      </c>
      <c r="P13" s="333">
        <f t="shared" si="1"/>
        <v>761000</v>
      </c>
      <c r="Q13" s="403"/>
      <c r="R13" s="347">
        <v>41323</v>
      </c>
      <c r="S13" s="347"/>
      <c r="T13" s="344"/>
    </row>
    <row r="14" spans="2:20" x14ac:dyDescent="0.25">
      <c r="B14" s="231" t="s">
        <v>819</v>
      </c>
      <c r="C14" s="232">
        <f>SUMIF(I4:I120,"E",$P$4:$P$120)</f>
        <v>17138000</v>
      </c>
      <c r="D14" s="424">
        <f>C14/$C$34</f>
        <v>0.34958983166427543</v>
      </c>
      <c r="E14" s="339" t="s">
        <v>1195</v>
      </c>
      <c r="F14" s="340">
        <f>SUMIF(I4:I120,"C",$O$4:$O$120)</f>
        <v>2658944</v>
      </c>
      <c r="G14" s="272">
        <f t="shared" si="2"/>
        <v>5.4238521727432328E-2</v>
      </c>
      <c r="I14" s="334" t="s">
        <v>1006</v>
      </c>
      <c r="J14" s="337" t="s">
        <v>1650</v>
      </c>
      <c r="K14" s="335">
        <v>404000</v>
      </c>
      <c r="L14" s="335"/>
      <c r="M14" s="335">
        <v>200000</v>
      </c>
      <c r="N14" s="335">
        <f>M14-186000</f>
        <v>14000</v>
      </c>
      <c r="O14" s="335">
        <f t="shared" si="0"/>
        <v>-218000</v>
      </c>
      <c r="P14" s="335">
        <f t="shared" si="1"/>
        <v>0</v>
      </c>
      <c r="Q14" s="405">
        <f>O14/K14</f>
        <v>-0.53960396039603964</v>
      </c>
      <c r="R14" s="348">
        <v>41325</v>
      </c>
      <c r="S14" s="348">
        <v>41546</v>
      </c>
      <c r="T14" s="353">
        <f>O14/((S14-R14)/7)</f>
        <v>-6904.9773755656106</v>
      </c>
    </row>
    <row r="15" spans="2:20" x14ac:dyDescent="0.25">
      <c r="B15" s="231" t="s">
        <v>997</v>
      </c>
      <c r="C15" s="232">
        <f>SUMIF(I4:I120,"M",$P$4:$P$120)</f>
        <v>100240</v>
      </c>
      <c r="D15" s="424">
        <f>C15/$C$34</f>
        <v>2.044747620844146E-3</v>
      </c>
      <c r="E15" s="339" t="s">
        <v>1196</v>
      </c>
      <c r="F15" s="340">
        <f>SUMIF(I4:I120,"E",$O$4:$O$120)</f>
        <v>4145484</v>
      </c>
      <c r="G15" s="272">
        <f t="shared" si="2"/>
        <v>8.4561737292971603E-2</v>
      </c>
      <c r="I15" s="187" t="s">
        <v>1006</v>
      </c>
      <c r="J15" s="336" t="s">
        <v>1339</v>
      </c>
      <c r="K15" s="333">
        <v>785000</v>
      </c>
      <c r="L15" s="333"/>
      <c r="M15" s="333">
        <v>0</v>
      </c>
      <c r="N15" s="333">
        <v>0</v>
      </c>
      <c r="O15" s="343">
        <f t="shared" si="0"/>
        <v>0</v>
      </c>
      <c r="P15" s="333">
        <f t="shared" si="1"/>
        <v>785000</v>
      </c>
      <c r="Q15" s="403"/>
      <c r="R15" s="347">
        <v>41325</v>
      </c>
      <c r="S15" s="347"/>
      <c r="T15" s="344"/>
    </row>
    <row r="16" spans="2:20" x14ac:dyDescent="0.25">
      <c r="B16" s="235"/>
      <c r="C16" s="236"/>
      <c r="D16" s="304"/>
      <c r="E16" s="339" t="s">
        <v>1197</v>
      </c>
      <c r="F16" s="340">
        <f>SUMIF(I4:I120,"M",$O$4:$O$120)</f>
        <v>0</v>
      </c>
      <c r="G16" s="272">
        <f t="shared" si="2"/>
        <v>0</v>
      </c>
      <c r="I16" s="334" t="s">
        <v>1383</v>
      </c>
      <c r="J16" s="337" t="s">
        <v>1487</v>
      </c>
      <c r="K16" s="335">
        <v>13000</v>
      </c>
      <c r="L16" s="335"/>
      <c r="M16" s="335">
        <v>60000</v>
      </c>
      <c r="N16" s="335">
        <f>M16-46500</f>
        <v>13500</v>
      </c>
      <c r="O16" s="335">
        <f t="shared" si="0"/>
        <v>33500</v>
      </c>
      <c r="P16" s="335">
        <f t="shared" si="1"/>
        <v>0</v>
      </c>
      <c r="Q16" s="405">
        <f>O16/K16</f>
        <v>2.5769230769230771</v>
      </c>
      <c r="R16" s="348">
        <v>41348</v>
      </c>
      <c r="S16" s="348">
        <v>41533</v>
      </c>
      <c r="T16" s="353">
        <f>O16/((S16-R16)/7)</f>
        <v>1267.5675675675677</v>
      </c>
    </row>
    <row r="17" spans="2:20" x14ac:dyDescent="0.25">
      <c r="B17" s="226" t="s">
        <v>48</v>
      </c>
      <c r="C17" s="260">
        <f>C18+C19</f>
        <v>13043662</v>
      </c>
      <c r="D17" s="304">
        <f>C17/$C$34</f>
        <v>0.2660713970630007</v>
      </c>
      <c r="E17" s="341" t="s">
        <v>1596</v>
      </c>
      <c r="F17" s="342">
        <f>'A-P_T41'!C9+C22-F27+EconomiaT41!C24-EconomiaT41!C5</f>
        <v>-40289</v>
      </c>
      <c r="G17" s="272">
        <f t="shared" si="2"/>
        <v>-8.2183596265153426E-4</v>
      </c>
      <c r="I17" s="334" t="s">
        <v>1383</v>
      </c>
      <c r="J17" s="337" t="s">
        <v>1511</v>
      </c>
      <c r="K17" s="335">
        <v>20000</v>
      </c>
      <c r="L17" s="335"/>
      <c r="M17" s="335">
        <v>39995</v>
      </c>
      <c r="N17" s="335">
        <f>M17-37195</f>
        <v>2800</v>
      </c>
      <c r="O17" s="335">
        <f t="shared" si="0"/>
        <v>17195</v>
      </c>
      <c r="P17" s="335">
        <f t="shared" si="1"/>
        <v>0</v>
      </c>
      <c r="Q17" s="405">
        <f>O17/K17</f>
        <v>0.85975000000000001</v>
      </c>
      <c r="R17" s="348">
        <v>41374</v>
      </c>
      <c r="S17" s="348">
        <v>41565</v>
      </c>
      <c r="T17" s="353">
        <f>O17/((S17-R17)/7)</f>
        <v>630.18324607329851</v>
      </c>
    </row>
    <row r="18" spans="2:20" x14ac:dyDescent="0.25">
      <c r="B18" s="231" t="s">
        <v>48</v>
      </c>
      <c r="C18" s="232">
        <f>SUM(M4:M117)</f>
        <v>13948618</v>
      </c>
      <c r="D18" s="424">
        <f>C18/$C$34</f>
        <v>0.28453115991184985</v>
      </c>
      <c r="E18" s="228"/>
      <c r="F18" s="227"/>
      <c r="G18" s="270"/>
      <c r="I18" s="187" t="s">
        <v>1006</v>
      </c>
      <c r="J18" s="336" t="s">
        <v>1577</v>
      </c>
      <c r="K18" s="333">
        <v>50000</v>
      </c>
      <c r="L18" s="333"/>
      <c r="M18" s="333">
        <v>0</v>
      </c>
      <c r="N18" s="333">
        <v>0</v>
      </c>
      <c r="O18" s="343">
        <f t="shared" si="0"/>
        <v>0</v>
      </c>
      <c r="P18" s="333">
        <f t="shared" ref="P18:P28" si="3">IF(M18=0,K18,0)</f>
        <v>50000</v>
      </c>
      <c r="Q18" s="403"/>
      <c r="R18" s="347">
        <v>41387</v>
      </c>
      <c r="S18" s="347"/>
      <c r="T18" s="344"/>
    </row>
    <row r="19" spans="2:20" x14ac:dyDescent="0.25">
      <c r="B19" s="245" t="s">
        <v>5</v>
      </c>
      <c r="C19" s="248">
        <f>SUM(N4:N117)*-1</f>
        <v>-904956</v>
      </c>
      <c r="D19" s="424">
        <f>C19/$C$34</f>
        <v>-1.845976284884911E-2</v>
      </c>
      <c r="E19" s="226" t="s">
        <v>1034</v>
      </c>
      <c r="F19" s="260">
        <f>F20+F21</f>
        <v>13728240</v>
      </c>
      <c r="G19" s="271">
        <f>F19/$F$34</f>
        <v>0.28003577492395687</v>
      </c>
      <c r="I19" s="334" t="s">
        <v>1006</v>
      </c>
      <c r="J19" s="337" t="s">
        <v>1579</v>
      </c>
      <c r="K19" s="335">
        <v>400000</v>
      </c>
      <c r="L19" s="335"/>
      <c r="M19" s="335">
        <v>400000</v>
      </c>
      <c r="N19" s="335">
        <f>M19-372000</f>
        <v>28000</v>
      </c>
      <c r="O19" s="335">
        <f t="shared" si="0"/>
        <v>-28000</v>
      </c>
      <c r="P19" s="335">
        <f t="shared" si="3"/>
        <v>0</v>
      </c>
      <c r="Q19" s="405">
        <f>O19/K19</f>
        <v>-7.0000000000000007E-2</v>
      </c>
      <c r="R19" s="348">
        <v>41394</v>
      </c>
      <c r="S19" s="348">
        <v>41623</v>
      </c>
      <c r="T19" s="353">
        <f>O19/((S19-R19)/7)</f>
        <v>-855.89519650655018</v>
      </c>
    </row>
    <row r="20" spans="2:20" x14ac:dyDescent="0.25">
      <c r="B20" s="235"/>
      <c r="C20" s="236"/>
      <c r="D20" s="424"/>
      <c r="E20" s="307" t="s">
        <v>50</v>
      </c>
      <c r="F20" s="427">
        <f>EconomiaT41!C19</f>
        <v>13848738</v>
      </c>
      <c r="G20" s="272">
        <f>F20/$F$34</f>
        <v>0.28249375575811964</v>
      </c>
      <c r="I20" s="334" t="s">
        <v>1004</v>
      </c>
      <c r="J20" s="337" t="s">
        <v>1611</v>
      </c>
      <c r="K20" s="335">
        <v>2012000</v>
      </c>
      <c r="L20" s="335"/>
      <c r="M20" s="335">
        <v>2699995</v>
      </c>
      <c r="N20" s="335">
        <f>M20-2510995</f>
        <v>189000</v>
      </c>
      <c r="O20" s="335">
        <f t="shared" si="0"/>
        <v>498995</v>
      </c>
      <c r="P20" s="335">
        <f t="shared" si="3"/>
        <v>0</v>
      </c>
      <c r="Q20" s="405">
        <f>O20/K20</f>
        <v>0.24800944333996025</v>
      </c>
      <c r="R20" s="348">
        <v>41465</v>
      </c>
      <c r="S20" s="348">
        <v>41576</v>
      </c>
      <c r="T20" s="353">
        <f>O20/((S20-R20)/7)</f>
        <v>31468.153153153151</v>
      </c>
    </row>
    <row r="21" spans="2:20" x14ac:dyDescent="0.25">
      <c r="B21" s="235"/>
      <c r="C21" s="236"/>
      <c r="D21" s="304"/>
      <c r="E21" s="245" t="s">
        <v>1140</v>
      </c>
      <c r="F21" s="238">
        <f>SUM(L4:L117)*-1</f>
        <v>-120498</v>
      </c>
      <c r="G21" s="272">
        <f>F21/$F$34</f>
        <v>-2.4579808341627881E-3</v>
      </c>
      <c r="I21" s="187" t="s">
        <v>1006</v>
      </c>
      <c r="J21" s="336" t="s">
        <v>1612</v>
      </c>
      <c r="K21" s="333">
        <v>2017000</v>
      </c>
      <c r="L21" s="333"/>
      <c r="M21" s="333">
        <v>0</v>
      </c>
      <c r="N21" s="333">
        <v>0</v>
      </c>
      <c r="O21" s="343">
        <f t="shared" si="0"/>
        <v>0</v>
      </c>
      <c r="P21" s="333">
        <f t="shared" si="3"/>
        <v>2017000</v>
      </c>
      <c r="Q21" s="403"/>
      <c r="R21" s="347">
        <v>41465</v>
      </c>
      <c r="S21" s="347"/>
      <c r="T21" s="344"/>
    </row>
    <row r="22" spans="2:20" x14ac:dyDescent="0.25">
      <c r="B22" s="226" t="s">
        <v>1328</v>
      </c>
      <c r="C22" s="242">
        <f>SUM(C23:C27)</f>
        <v>5227103</v>
      </c>
      <c r="D22" s="304">
        <f t="shared" ref="D22:D27" si="4">C22/$C$34</f>
        <v>0.1066251638383609</v>
      </c>
      <c r="E22" s="228"/>
      <c r="F22" s="227"/>
      <c r="G22" s="270"/>
      <c r="I22" s="187" t="s">
        <v>1004</v>
      </c>
      <c r="J22" s="336" t="s">
        <v>1613</v>
      </c>
      <c r="K22" s="333">
        <v>2300000</v>
      </c>
      <c r="L22" s="333"/>
      <c r="M22" s="333">
        <v>0</v>
      </c>
      <c r="N22" s="333">
        <v>0</v>
      </c>
      <c r="O22" s="343">
        <f t="shared" si="0"/>
        <v>0</v>
      </c>
      <c r="P22" s="333">
        <f t="shared" si="3"/>
        <v>2300000</v>
      </c>
      <c r="Q22" s="403"/>
      <c r="R22" s="347">
        <v>41469</v>
      </c>
      <c r="S22" s="347"/>
      <c r="T22" s="344"/>
    </row>
    <row r="23" spans="2:20" x14ac:dyDescent="0.25">
      <c r="B23" s="233" t="s">
        <v>42</v>
      </c>
      <c r="C23" s="234">
        <f>EconomiaT41!C11</f>
        <v>62939</v>
      </c>
      <c r="D23" s="424">
        <f t="shared" si="4"/>
        <v>1.2838624352385245E-3</v>
      </c>
      <c r="E23" s="429" t="s">
        <v>1600</v>
      </c>
      <c r="F23" s="242">
        <f>F24+F25</f>
        <v>0</v>
      </c>
      <c r="G23" s="271">
        <f>F23/$F$34</f>
        <v>0</v>
      </c>
      <c r="I23" s="187" t="s">
        <v>1006</v>
      </c>
      <c r="J23" s="336" t="s">
        <v>1614</v>
      </c>
      <c r="K23" s="333">
        <v>950000</v>
      </c>
      <c r="L23" s="333"/>
      <c r="M23" s="333">
        <v>0</v>
      </c>
      <c r="N23" s="333">
        <v>0</v>
      </c>
      <c r="O23" s="343">
        <f t="shared" si="0"/>
        <v>0</v>
      </c>
      <c r="P23" s="333">
        <f t="shared" si="3"/>
        <v>950000</v>
      </c>
      <c r="Q23" s="403"/>
      <c r="R23" s="347">
        <v>41480</v>
      </c>
      <c r="S23" s="347"/>
      <c r="T23" s="344"/>
    </row>
    <row r="24" spans="2:20" x14ac:dyDescent="0.25">
      <c r="B24" s="233" t="s">
        <v>51</v>
      </c>
      <c r="C24" s="234">
        <f>EconomiaT41!C12</f>
        <v>115732</v>
      </c>
      <c r="D24" s="424">
        <f t="shared" si="4"/>
        <v>2.3607614889817907E-3</v>
      </c>
      <c r="E24" s="307" t="s">
        <v>30</v>
      </c>
      <c r="F24" s="428">
        <f>EconomiaT41!C16</f>
        <v>0</v>
      </c>
      <c r="G24" s="272">
        <f>F24/$F$34</f>
        <v>0</v>
      </c>
      <c r="I24" s="187" t="s">
        <v>1004</v>
      </c>
      <c r="J24" s="336" t="s">
        <v>1615</v>
      </c>
      <c r="K24" s="333">
        <v>1805000</v>
      </c>
      <c r="L24" s="333"/>
      <c r="M24" s="333">
        <v>0</v>
      </c>
      <c r="N24" s="333">
        <v>0</v>
      </c>
      <c r="O24" s="343">
        <f t="shared" si="0"/>
        <v>0</v>
      </c>
      <c r="P24" s="333">
        <f t="shared" si="3"/>
        <v>1805000</v>
      </c>
      <c r="Q24" s="403"/>
      <c r="R24" s="347">
        <v>41485</v>
      </c>
      <c r="S24" s="347"/>
      <c r="T24" s="344"/>
    </row>
    <row r="25" spans="2:20" x14ac:dyDescent="0.25">
      <c r="B25" s="233" t="s">
        <v>0</v>
      </c>
      <c r="C25" s="234">
        <f>EconomiaT41!C6</f>
        <v>3204319</v>
      </c>
      <c r="D25" s="424">
        <f t="shared" si="4"/>
        <v>6.5363364442095895E-2</v>
      </c>
      <c r="E25" s="307" t="s">
        <v>11</v>
      </c>
      <c r="F25" s="428">
        <f>EconomiaT41!C20</f>
        <v>0</v>
      </c>
      <c r="G25" s="272">
        <f>F25/$F$34</f>
        <v>0</v>
      </c>
      <c r="I25" s="187" t="s">
        <v>1006</v>
      </c>
      <c r="J25" s="336" t="s">
        <v>1616</v>
      </c>
      <c r="K25" s="333">
        <v>1275000</v>
      </c>
      <c r="L25" s="333"/>
      <c r="M25" s="333">
        <v>0</v>
      </c>
      <c r="N25" s="333">
        <v>0</v>
      </c>
      <c r="O25" s="343">
        <f t="shared" si="0"/>
        <v>0</v>
      </c>
      <c r="P25" s="333">
        <f t="shared" si="3"/>
        <v>1275000</v>
      </c>
      <c r="Q25" s="403"/>
      <c r="R25" s="347">
        <v>41488</v>
      </c>
      <c r="S25" s="347"/>
      <c r="T25" s="344"/>
    </row>
    <row r="26" spans="2:20" x14ac:dyDescent="0.25">
      <c r="B26" s="233" t="s">
        <v>2</v>
      </c>
      <c r="C26" s="234">
        <f>EconomiaT41!C7</f>
        <v>1647107</v>
      </c>
      <c r="D26" s="424">
        <f t="shared" si="4"/>
        <v>3.3598544688006167E-2</v>
      </c>
      <c r="E26" s="226"/>
      <c r="F26" s="242"/>
      <c r="G26" s="271"/>
      <c r="I26" s="187" t="s">
        <v>1006</v>
      </c>
      <c r="J26" s="336" t="s">
        <v>1618</v>
      </c>
      <c r="K26" s="333">
        <v>800000</v>
      </c>
      <c r="L26" s="333"/>
      <c r="M26" s="333">
        <v>0</v>
      </c>
      <c r="N26" s="333">
        <v>0</v>
      </c>
      <c r="O26" s="343">
        <f t="shared" si="0"/>
        <v>0</v>
      </c>
      <c r="P26" s="333">
        <f t="shared" si="3"/>
        <v>800000</v>
      </c>
      <c r="Q26" s="403"/>
      <c r="R26" s="347">
        <v>41491</v>
      </c>
      <c r="S26" s="347"/>
      <c r="T26" s="344"/>
    </row>
    <row r="27" spans="2:20" x14ac:dyDescent="0.25">
      <c r="B27" s="233" t="s">
        <v>5</v>
      </c>
      <c r="C27" s="234">
        <f>EconomiaT41!C10</f>
        <v>197006</v>
      </c>
      <c r="D27" s="424">
        <f t="shared" si="4"/>
        <v>4.0186307840385255E-3</v>
      </c>
      <c r="E27" s="226" t="s">
        <v>1601</v>
      </c>
      <c r="F27" s="242">
        <f>SUM(F28:F33)</f>
        <v>4844710</v>
      </c>
      <c r="G27" s="271">
        <f t="shared" ref="G27:G33" si="5">F27/$F$34</f>
        <v>9.8824912671387086E-2</v>
      </c>
      <c r="I27" s="187" t="s">
        <v>1006</v>
      </c>
      <c r="J27" s="336" t="s">
        <v>1620</v>
      </c>
      <c r="K27" s="333">
        <v>633420</v>
      </c>
      <c r="L27" s="333"/>
      <c r="M27" s="333">
        <v>0</v>
      </c>
      <c r="N27" s="333">
        <v>0</v>
      </c>
      <c r="O27" s="343">
        <f t="shared" si="0"/>
        <v>0</v>
      </c>
      <c r="P27" s="333">
        <f t="shared" si="3"/>
        <v>633420</v>
      </c>
      <c r="Q27" s="403"/>
      <c r="R27" s="347">
        <v>41515</v>
      </c>
      <c r="S27" s="347"/>
      <c r="T27" s="344"/>
    </row>
    <row r="28" spans="2:20" x14ac:dyDescent="0.25">
      <c r="B28" s="226"/>
      <c r="C28" s="242"/>
      <c r="D28" s="304"/>
      <c r="E28" s="307" t="s">
        <v>882</v>
      </c>
      <c r="F28" s="428">
        <f>EconomiaT41!C14</f>
        <v>3177462</v>
      </c>
      <c r="G28" s="272">
        <f t="shared" si="5"/>
        <v>6.4815521396874312E-2</v>
      </c>
      <c r="I28" s="334" t="s">
        <v>1003</v>
      </c>
      <c r="J28" s="337" t="s">
        <v>1621</v>
      </c>
      <c r="K28" s="335">
        <v>0</v>
      </c>
      <c r="L28" s="335"/>
      <c r="M28" s="335">
        <v>574260</v>
      </c>
      <c r="N28" s="335">
        <f>M28-545547</f>
        <v>28713</v>
      </c>
      <c r="O28" s="335">
        <f t="shared" ref="O28" si="6">IF(M28=0,0,M28-K28)-N28</f>
        <v>545547</v>
      </c>
      <c r="P28" s="335">
        <f t="shared" si="3"/>
        <v>0</v>
      </c>
      <c r="Q28" s="441" t="s">
        <v>1327</v>
      </c>
      <c r="R28" s="348"/>
      <c r="S28" s="348">
        <v>41530</v>
      </c>
      <c r="T28" s="353">
        <f>O28/((S28-R28)/7)</f>
        <v>91.953503491451954</v>
      </c>
    </row>
    <row r="29" spans="2:20" x14ac:dyDescent="0.25">
      <c r="B29" s="226" t="s">
        <v>1200</v>
      </c>
      <c r="C29" s="242">
        <f>EconomiaT41!S24</f>
        <v>149165</v>
      </c>
      <c r="D29" s="304">
        <f>C29/$C$34</f>
        <v>3.0427452001518056E-3</v>
      </c>
      <c r="E29" s="307" t="s">
        <v>29</v>
      </c>
      <c r="F29" s="428">
        <f>EconomiaT41!C15</f>
        <v>470048</v>
      </c>
      <c r="G29" s="272">
        <f t="shared" si="5"/>
        <v>9.5882834166255895E-3</v>
      </c>
      <c r="I29" s="334" t="s">
        <v>1003</v>
      </c>
      <c r="J29" s="337" t="s">
        <v>1622</v>
      </c>
      <c r="K29" s="335">
        <v>0</v>
      </c>
      <c r="L29" s="335"/>
      <c r="M29" s="335">
        <v>738628</v>
      </c>
      <c r="N29" s="335">
        <f>M29-701697</f>
        <v>36931</v>
      </c>
      <c r="O29" s="335">
        <f t="shared" ref="O29" si="7">IF(M29=0,0,M29-K29)-N29</f>
        <v>701697</v>
      </c>
      <c r="P29" s="335">
        <f t="shared" ref="P29" si="8">IF(M29=0,K29,0)</f>
        <v>0</v>
      </c>
      <c r="Q29" s="441" t="s">
        <v>1327</v>
      </c>
      <c r="R29" s="348"/>
      <c r="S29" s="348">
        <v>41442</v>
      </c>
      <c r="T29" s="353">
        <f>O29/((S29-R29)/7)</f>
        <v>118.52417836976979</v>
      </c>
    </row>
    <row r="30" spans="2:20" x14ac:dyDescent="0.25">
      <c r="B30" s="226"/>
      <c r="C30" s="242"/>
      <c r="D30" s="304"/>
      <c r="E30" s="307" t="s">
        <v>6</v>
      </c>
      <c r="F30" s="428">
        <f>EconomiaT41!C17</f>
        <v>741600</v>
      </c>
      <c r="G30" s="272">
        <f t="shared" si="5"/>
        <v>1.512754225476874E-2</v>
      </c>
      <c r="I30" s="334" t="s">
        <v>1003</v>
      </c>
      <c r="J30" s="337" t="s">
        <v>1623</v>
      </c>
      <c r="K30" s="335">
        <v>0</v>
      </c>
      <c r="L30" s="335"/>
      <c r="M30" s="335">
        <v>3000</v>
      </c>
      <c r="N30" s="335">
        <v>150</v>
      </c>
      <c r="O30" s="335">
        <f t="shared" ref="O30:O32" si="9">IF(M30=0,0,M30-K30)-N30</f>
        <v>2850</v>
      </c>
      <c r="P30" s="335">
        <f t="shared" ref="P30:P32" si="10">IF(M30=0,K30,0)</f>
        <v>0</v>
      </c>
      <c r="Q30" s="441" t="s">
        <v>1327</v>
      </c>
      <c r="R30" s="348"/>
      <c r="S30" s="348">
        <v>41541</v>
      </c>
      <c r="T30" s="353">
        <f>O30/((S30-R30)/7)</f>
        <v>0.48024842926265615</v>
      </c>
    </row>
    <row r="31" spans="2:20" x14ac:dyDescent="0.25">
      <c r="B31" s="226"/>
      <c r="C31" s="242"/>
      <c r="D31" s="304"/>
      <c r="E31" s="307" t="s">
        <v>8</v>
      </c>
      <c r="F31" s="428">
        <f>EconomiaT41!C18</f>
        <v>320000</v>
      </c>
      <c r="G31" s="272">
        <f t="shared" si="5"/>
        <v>6.5275263235248073E-3</v>
      </c>
      <c r="I31" s="187" t="s">
        <v>1004</v>
      </c>
      <c r="J31" s="336" t="s">
        <v>1649</v>
      </c>
      <c r="K31" s="333">
        <v>2166000</v>
      </c>
      <c r="L31" s="333">
        <v>20676</v>
      </c>
      <c r="M31" s="333">
        <v>0</v>
      </c>
      <c r="N31" s="333">
        <v>0</v>
      </c>
      <c r="O31" s="343">
        <f t="shared" si="9"/>
        <v>0</v>
      </c>
      <c r="P31" s="333">
        <f t="shared" si="10"/>
        <v>2166000</v>
      </c>
      <c r="Q31" s="403"/>
      <c r="R31" s="347">
        <v>41542</v>
      </c>
      <c r="S31" s="347"/>
      <c r="T31" s="344"/>
    </row>
    <row r="32" spans="2:20" x14ac:dyDescent="0.25">
      <c r="B32" s="226"/>
      <c r="C32" s="242"/>
      <c r="D32" s="304"/>
      <c r="E32" s="307" t="s">
        <v>818</v>
      </c>
      <c r="F32" s="428">
        <f>EconomiaT41!C21</f>
        <v>135600</v>
      </c>
      <c r="G32" s="272">
        <f t="shared" si="5"/>
        <v>2.766039279593637E-3</v>
      </c>
      <c r="I32" s="334" t="s">
        <v>1003</v>
      </c>
      <c r="J32" s="337" t="s">
        <v>1667</v>
      </c>
      <c r="K32" s="335">
        <v>0</v>
      </c>
      <c r="L32" s="335"/>
      <c r="M32" s="335">
        <v>13000</v>
      </c>
      <c r="N32" s="335">
        <v>650</v>
      </c>
      <c r="O32" s="335">
        <f t="shared" si="9"/>
        <v>12350</v>
      </c>
      <c r="P32" s="335">
        <f t="shared" si="10"/>
        <v>0</v>
      </c>
      <c r="Q32" s="441" t="s">
        <v>1327</v>
      </c>
      <c r="R32" s="348"/>
      <c r="S32" s="348">
        <v>41551</v>
      </c>
      <c r="T32" s="353">
        <f>O32/((S32-R32)/7)</f>
        <v>2.0805756780823565</v>
      </c>
    </row>
    <row r="33" spans="2:20" x14ac:dyDescent="0.25">
      <c r="B33" s="230"/>
      <c r="C33" s="229"/>
      <c r="D33" s="304"/>
      <c r="E33" s="431" t="s">
        <v>10</v>
      </c>
      <c r="F33" s="432">
        <f>EconomiaT41!C22</f>
        <v>0</v>
      </c>
      <c r="G33" s="430">
        <f t="shared" si="5"/>
        <v>0</v>
      </c>
      <c r="I33" s="334" t="s">
        <v>1003</v>
      </c>
      <c r="J33" s="337" t="s">
        <v>1668</v>
      </c>
      <c r="K33" s="335">
        <v>0</v>
      </c>
      <c r="L33" s="335"/>
      <c r="M33" s="335">
        <v>1449000</v>
      </c>
      <c r="N33" s="335">
        <f>M33-1376550</f>
        <v>72450</v>
      </c>
      <c r="O33" s="335">
        <f t="shared" ref="O33:O35" si="11">IF(M33=0,0,M33-K33)-N33</f>
        <v>1376550</v>
      </c>
      <c r="P33" s="335">
        <f t="shared" ref="P33:P35" si="12">IF(M33=0,K33,0)</f>
        <v>0</v>
      </c>
      <c r="Q33" s="441" t="s">
        <v>1327</v>
      </c>
      <c r="R33" s="348"/>
      <c r="S33" s="348">
        <v>41559</v>
      </c>
      <c r="T33" s="353">
        <f>O33/((S33-R33)/7)</f>
        <v>231.85952501263264</v>
      </c>
    </row>
    <row r="34" spans="2:20" ht="18.75" x14ac:dyDescent="0.3">
      <c r="B34" s="239" t="s">
        <v>291</v>
      </c>
      <c r="C34" s="240">
        <f>C22+C17+C11+C6+C29</f>
        <v>49023165</v>
      </c>
      <c r="D34" s="43">
        <f>C34/$C$34</f>
        <v>1</v>
      </c>
      <c r="E34" s="366" t="s">
        <v>291</v>
      </c>
      <c r="F34" s="367">
        <f>F27+F19+F11+F6+F23</f>
        <v>49023165</v>
      </c>
      <c r="G34" s="43">
        <f>F34/$F$34</f>
        <v>1</v>
      </c>
      <c r="I34" s="334" t="s">
        <v>1383</v>
      </c>
      <c r="J34" s="337" t="s">
        <v>1669</v>
      </c>
      <c r="K34" s="335">
        <v>2000</v>
      </c>
      <c r="L34" s="335">
        <v>612</v>
      </c>
      <c r="M34" s="335">
        <v>89760</v>
      </c>
      <c r="N34" s="335">
        <f>M34-78127</f>
        <v>11633</v>
      </c>
      <c r="O34" s="335">
        <f t="shared" si="11"/>
        <v>76127</v>
      </c>
      <c r="P34" s="335">
        <f t="shared" si="12"/>
        <v>0</v>
      </c>
      <c r="Q34" s="405">
        <f>O34/K34</f>
        <v>38.063499999999998</v>
      </c>
      <c r="R34" s="348">
        <v>41562</v>
      </c>
      <c r="S34" s="348">
        <v>41576</v>
      </c>
      <c r="T34" s="353">
        <f>O34/((S34-R34)/7)</f>
        <v>38063.5</v>
      </c>
    </row>
    <row r="35" spans="2:20" x14ac:dyDescent="0.25">
      <c r="F35" s="417">
        <f>F34-C34</f>
        <v>0</v>
      </c>
      <c r="I35" s="187" t="s">
        <v>1004</v>
      </c>
      <c r="J35" s="336" t="s">
        <v>1670</v>
      </c>
      <c r="K35" s="333">
        <v>2500000</v>
      </c>
      <c r="L35" s="333">
        <v>16452</v>
      </c>
      <c r="M35" s="333">
        <v>0</v>
      </c>
      <c r="N35" s="333">
        <v>0</v>
      </c>
      <c r="O35" s="343">
        <f t="shared" si="11"/>
        <v>0</v>
      </c>
      <c r="P35" s="333">
        <f t="shared" si="12"/>
        <v>2500000</v>
      </c>
      <c r="Q35" s="403"/>
      <c r="R35" s="347">
        <v>41282</v>
      </c>
      <c r="S35" s="347"/>
      <c r="T35" s="344"/>
    </row>
    <row r="36" spans="2:20" x14ac:dyDescent="0.25">
      <c r="I36" s="187" t="s">
        <v>1004</v>
      </c>
      <c r="J36" s="336" t="s">
        <v>1673</v>
      </c>
      <c r="K36" s="333">
        <v>2341000</v>
      </c>
      <c r="L36" s="333">
        <v>7140</v>
      </c>
      <c r="M36" s="333">
        <v>0</v>
      </c>
      <c r="N36" s="333">
        <v>0</v>
      </c>
      <c r="O36" s="343">
        <f t="shared" ref="O36" si="13">IF(M36=0,0,M36-K36)-N36</f>
        <v>0</v>
      </c>
      <c r="P36" s="333">
        <f t="shared" ref="P36" si="14">IF(M36=0,K36,0)</f>
        <v>2341000</v>
      </c>
      <c r="Q36" s="403"/>
      <c r="R36" s="347">
        <v>41577</v>
      </c>
      <c r="S36" s="347"/>
      <c r="T36" s="344"/>
    </row>
    <row r="37" spans="2:20" x14ac:dyDescent="0.25">
      <c r="I37" s="334" t="s">
        <v>1383</v>
      </c>
      <c r="J37" s="337" t="s">
        <v>1674</v>
      </c>
      <c r="K37" s="335">
        <v>6000</v>
      </c>
      <c r="L37" s="335">
        <v>660</v>
      </c>
      <c r="M37" s="335">
        <v>109995</v>
      </c>
      <c r="N37" s="335">
        <f>M37-97416</f>
        <v>12579</v>
      </c>
      <c r="O37" s="335">
        <f t="shared" ref="O37:O39" si="15">IF(M37=0,0,M37-K37)-N37</f>
        <v>91416</v>
      </c>
      <c r="P37" s="335">
        <f t="shared" ref="P37:P39" si="16">IF(M37=0,K37,0)</f>
        <v>0</v>
      </c>
      <c r="Q37" s="405">
        <f>O37/K37</f>
        <v>15.236000000000001</v>
      </c>
      <c r="R37" s="348">
        <v>41577</v>
      </c>
      <c r="S37" s="348">
        <v>41596</v>
      </c>
      <c r="T37" s="353">
        <f>O37/((S37-R37)/7)</f>
        <v>33679.57894736842</v>
      </c>
    </row>
    <row r="38" spans="2:20" x14ac:dyDescent="0.25">
      <c r="H38" s="225"/>
      <c r="I38" s="334" t="s">
        <v>1003</v>
      </c>
      <c r="J38" s="337" t="s">
        <v>1675</v>
      </c>
      <c r="K38" s="335">
        <v>0</v>
      </c>
      <c r="L38" s="335"/>
      <c r="M38" s="335">
        <v>21000</v>
      </c>
      <c r="N38" s="335">
        <f>M38-19950</f>
        <v>1050</v>
      </c>
      <c r="O38" s="335">
        <f t="shared" si="15"/>
        <v>19950</v>
      </c>
      <c r="P38" s="335">
        <f t="shared" si="16"/>
        <v>0</v>
      </c>
      <c r="Q38" s="441" t="s">
        <v>1327</v>
      </c>
      <c r="R38" s="348"/>
      <c r="S38" s="348">
        <v>41585</v>
      </c>
      <c r="T38" s="353">
        <f>O38/((S38-R38)/7)</f>
        <v>3.3581820367921127</v>
      </c>
    </row>
    <row r="39" spans="2:20" x14ac:dyDescent="0.25">
      <c r="I39" s="187" t="s">
        <v>1004</v>
      </c>
      <c r="J39" s="336" t="s">
        <v>1676</v>
      </c>
      <c r="K39" s="333">
        <v>2125000</v>
      </c>
      <c r="L39" s="333">
        <v>18690</v>
      </c>
      <c r="M39" s="333">
        <v>0</v>
      </c>
      <c r="N39" s="333">
        <v>0</v>
      </c>
      <c r="O39" s="343">
        <f t="shared" si="15"/>
        <v>0</v>
      </c>
      <c r="P39" s="333">
        <f t="shared" si="16"/>
        <v>2125000</v>
      </c>
      <c r="Q39" s="403"/>
      <c r="R39" s="347">
        <v>41584</v>
      </c>
      <c r="S39" s="347"/>
      <c r="T39" s="344"/>
    </row>
    <row r="40" spans="2:20" x14ac:dyDescent="0.25">
      <c r="C40" s="129"/>
      <c r="E40" s="30"/>
      <c r="I40" s="187" t="s">
        <v>1004</v>
      </c>
      <c r="J40" s="336" t="s">
        <v>1678</v>
      </c>
      <c r="K40" s="333">
        <v>2601000</v>
      </c>
      <c r="L40" s="333">
        <v>18828</v>
      </c>
      <c r="M40" s="333">
        <v>0</v>
      </c>
      <c r="N40" s="333">
        <v>0</v>
      </c>
      <c r="O40" s="343">
        <f t="shared" ref="O40" si="17">IF(M40=0,0,M40-K40)-N40</f>
        <v>0</v>
      </c>
      <c r="P40" s="333">
        <f t="shared" ref="P40" si="18">IF(M40=0,K40,0)</f>
        <v>2601000</v>
      </c>
      <c r="Q40" s="403"/>
      <c r="R40" s="347">
        <v>41613</v>
      </c>
      <c r="S40" s="347"/>
      <c r="T40" s="344"/>
    </row>
    <row r="41" spans="2:20" x14ac:dyDescent="0.25">
      <c r="E41" s="30"/>
      <c r="I41" s="187" t="s">
        <v>1005</v>
      </c>
      <c r="J41" s="336" t="s">
        <v>1679</v>
      </c>
      <c r="K41" s="333">
        <v>63240</v>
      </c>
      <c r="L41" s="333">
        <v>828</v>
      </c>
      <c r="M41" s="333">
        <v>0</v>
      </c>
      <c r="N41" s="333">
        <v>0</v>
      </c>
      <c r="O41" s="343">
        <f t="shared" ref="O41" si="19">IF(M41=0,0,M41-K41)-N41</f>
        <v>0</v>
      </c>
      <c r="P41" s="333">
        <f t="shared" ref="P41" si="20">IF(M41=0,K41,0)</f>
        <v>63240</v>
      </c>
      <c r="Q41" s="403"/>
      <c r="R41" s="347">
        <v>41613</v>
      </c>
      <c r="S41" s="347"/>
      <c r="T41" s="344"/>
    </row>
    <row r="42" spans="2:20" x14ac:dyDescent="0.25">
      <c r="I42" s="187" t="s">
        <v>1005</v>
      </c>
      <c r="J42" s="336" t="s">
        <v>1680</v>
      </c>
      <c r="K42" s="333">
        <v>37000</v>
      </c>
      <c r="L42" s="333">
        <v>540</v>
      </c>
      <c r="M42" s="333">
        <v>0</v>
      </c>
      <c r="N42" s="333">
        <v>0</v>
      </c>
      <c r="O42" s="343">
        <f t="shared" ref="O42" si="21">IF(M42=0,0,M42-K42)-N42</f>
        <v>0</v>
      </c>
      <c r="P42" s="333">
        <f t="shared" ref="P42" si="22">IF(M42=0,K42,0)</f>
        <v>37000</v>
      </c>
      <c r="Q42" s="403"/>
      <c r="R42" s="347">
        <v>41613</v>
      </c>
      <c r="S42" s="347"/>
      <c r="T42" s="344"/>
    </row>
    <row r="43" spans="2:20" x14ac:dyDescent="0.25">
      <c r="I43" s="187" t="s">
        <v>1006</v>
      </c>
      <c r="J43" s="336" t="s">
        <v>1684</v>
      </c>
      <c r="K43" s="333">
        <v>1071000</v>
      </c>
      <c r="L43" s="333">
        <v>17820</v>
      </c>
      <c r="M43" s="333">
        <v>0</v>
      </c>
      <c r="N43" s="333">
        <v>0</v>
      </c>
      <c r="O43" s="343">
        <f t="shared" ref="O43" si="23">IF(M43=0,0,M43-K43)-N43</f>
        <v>0</v>
      </c>
      <c r="P43" s="333">
        <f t="shared" ref="P43" si="24">IF(M43=0,K43,0)</f>
        <v>1071000</v>
      </c>
      <c r="Q43" s="403"/>
      <c r="R43" s="347">
        <v>41624</v>
      </c>
      <c r="S43" s="347"/>
      <c r="T43" s="344"/>
    </row>
    <row r="44" spans="2:20" x14ac:dyDescent="0.25">
      <c r="B44" s="225"/>
      <c r="I44" s="187" t="s">
        <v>1006</v>
      </c>
      <c r="J44" s="336" t="s">
        <v>1685</v>
      </c>
      <c r="K44" s="333">
        <v>816000</v>
      </c>
      <c r="L44" s="333">
        <v>18252</v>
      </c>
      <c r="M44" s="333">
        <v>0</v>
      </c>
      <c r="N44" s="333">
        <v>0</v>
      </c>
      <c r="O44" s="343">
        <f t="shared" ref="O44" si="25">IF(M44=0,0,M44-K44)-N44</f>
        <v>0</v>
      </c>
      <c r="P44" s="333">
        <f t="shared" ref="P44" si="26">IF(M44=0,K44,0)</f>
        <v>816000</v>
      </c>
      <c r="Q44" s="403"/>
      <c r="R44" s="347">
        <v>41624</v>
      </c>
      <c r="S44" s="347"/>
      <c r="T44" s="344"/>
    </row>
    <row r="45" spans="2:20" x14ac:dyDescent="0.25">
      <c r="I45" s="459"/>
      <c r="J45" s="459" t="s">
        <v>1709</v>
      </c>
      <c r="K45" s="460"/>
      <c r="L45" s="459"/>
      <c r="M45" s="460"/>
      <c r="N45" s="460"/>
      <c r="O45" s="460"/>
      <c r="P45" s="459"/>
      <c r="Q45" s="462"/>
      <c r="R45" s="459"/>
      <c r="S45" s="459"/>
      <c r="T45" s="461"/>
    </row>
    <row r="47" spans="2:20" x14ac:dyDescent="0.25">
      <c r="E47" s="225"/>
    </row>
  </sheetData>
  <autoFilter ref="I3:T45"/>
  <mergeCells count="4">
    <mergeCell ref="B2:G2"/>
    <mergeCell ref="B3:G3"/>
    <mergeCell ref="B4:C4"/>
    <mergeCell ref="E4:F4"/>
  </mergeCells>
  <conditionalFormatting sqref="F12:F17 O4:O44 T4:T44 Q4:Q44">
    <cfRule type="cellIs" dxfId="1750" priority="237" operator="lessThan">
      <formula>0</formula>
    </cfRule>
    <cfRule type="cellIs" dxfId="1749" priority="238" operator="greaterThan">
      <formula>0</formula>
    </cfRule>
  </conditionalFormatting>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A20" sqref="A20"/>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6.7109375" style="446" bestFit="1" customWidth="1"/>
    <col min="6" max="6" width="16.7109375" bestFit="1" customWidth="1"/>
    <col min="7" max="7" width="16.7109375" style="97" bestFit="1" customWidth="1"/>
    <col min="8" max="9" width="16.7109375" bestFit="1" customWidth="1"/>
    <col min="10" max="19" width="16.7109375" style="5" bestFit="1" customWidth="1"/>
    <col min="20" max="23" width="11.42578125" style="5"/>
    <col min="24" max="24" width="11.5703125" style="5" bestFit="1" customWidth="1"/>
    <col min="25" max="25" width="16.140625" style="5" customWidth="1"/>
    <col min="26" max="26" width="9.7109375" style="5" bestFit="1" customWidth="1"/>
    <col min="27" max="16384" width="11.42578125" style="5"/>
  </cols>
  <sheetData>
    <row r="1" spans="1:26" ht="23.25" x14ac:dyDescent="0.35">
      <c r="A1" s="156" t="s">
        <v>13</v>
      </c>
      <c r="B1" s="255"/>
      <c r="C1" s="255"/>
      <c r="X1" s="376"/>
    </row>
    <row r="2" spans="1:26" s="178" customFormat="1" ht="12.75" x14ac:dyDescent="0.2">
      <c r="B2" s="297"/>
      <c r="C2" s="297"/>
      <c r="D2" s="181">
        <f>EconomiaT41!S2+7</f>
        <v>41629</v>
      </c>
      <c r="E2" s="181">
        <f>D2+7</f>
        <v>41636</v>
      </c>
      <c r="F2" s="181">
        <f t="shared" ref="F2:S2" si="0">E2+7</f>
        <v>41643</v>
      </c>
      <c r="G2" s="181">
        <f t="shared" si="0"/>
        <v>41650</v>
      </c>
      <c r="H2" s="181">
        <f t="shared" si="0"/>
        <v>41657</v>
      </c>
      <c r="I2" s="181">
        <f t="shared" si="0"/>
        <v>41664</v>
      </c>
      <c r="J2" s="181">
        <f t="shared" si="0"/>
        <v>41671</v>
      </c>
      <c r="K2" s="181">
        <f t="shared" si="0"/>
        <v>41678</v>
      </c>
      <c r="L2" s="181">
        <f t="shared" si="0"/>
        <v>41685</v>
      </c>
      <c r="M2" s="181">
        <f t="shared" si="0"/>
        <v>41692</v>
      </c>
      <c r="N2" s="181">
        <f t="shared" si="0"/>
        <v>41699</v>
      </c>
      <c r="O2" s="181">
        <f t="shared" si="0"/>
        <v>41706</v>
      </c>
      <c r="P2" s="181">
        <f t="shared" si="0"/>
        <v>41713</v>
      </c>
      <c r="Q2" s="181">
        <f t="shared" si="0"/>
        <v>41720</v>
      </c>
      <c r="R2" s="181">
        <f t="shared" si="0"/>
        <v>41727</v>
      </c>
      <c r="S2" s="181">
        <f t="shared" si="0"/>
        <v>41734</v>
      </c>
      <c r="T2" s="181"/>
      <c r="U2" s="181"/>
      <c r="V2" s="181"/>
      <c r="W2" s="181"/>
      <c r="X2" s="181"/>
    </row>
    <row r="3" spans="1:26" s="6" customFormat="1" x14ac:dyDescent="0.25">
      <c r="A3" s="27"/>
      <c r="B3" s="27" t="s">
        <v>1728</v>
      </c>
      <c r="C3" s="27"/>
      <c r="D3" s="386" t="s">
        <v>16</v>
      </c>
      <c r="E3" s="386" t="s">
        <v>715</v>
      </c>
      <c r="F3" s="386" t="s">
        <v>702</v>
      </c>
      <c r="G3" s="386" t="s">
        <v>703</v>
      </c>
      <c r="H3" s="386" t="s">
        <v>704</v>
      </c>
      <c r="I3" s="386" t="s">
        <v>705</v>
      </c>
      <c r="J3" s="386" t="s">
        <v>21</v>
      </c>
      <c r="K3" s="386" t="s">
        <v>22</v>
      </c>
      <c r="L3" s="386" t="s">
        <v>23</v>
      </c>
      <c r="M3" s="386" t="s">
        <v>17</v>
      </c>
      <c r="N3" s="386" t="s">
        <v>18</v>
      </c>
      <c r="O3" s="386" t="s">
        <v>24</v>
      </c>
      <c r="P3" s="386" t="s">
        <v>25</v>
      </c>
      <c r="Q3" s="386" t="s">
        <v>26</v>
      </c>
      <c r="R3" s="386" t="s">
        <v>27</v>
      </c>
      <c r="S3" s="386" t="s">
        <v>28</v>
      </c>
    </row>
    <row r="4" spans="1:26" s="6" customFormat="1" x14ac:dyDescent="0.25">
      <c r="A4" s="27"/>
      <c r="B4" s="298"/>
      <c r="C4" s="298" t="s">
        <v>42</v>
      </c>
      <c r="D4" s="215">
        <v>2186</v>
      </c>
      <c r="E4" s="215">
        <f>D4+(D11/30)</f>
        <v>2191</v>
      </c>
      <c r="F4" s="215">
        <f t="shared" ref="F4:R4" si="1">E4+(E11/30)</f>
        <v>2193</v>
      </c>
      <c r="G4" s="215">
        <f t="shared" si="1"/>
        <v>2193</v>
      </c>
      <c r="H4" s="215">
        <f t="shared" si="1"/>
        <v>2193</v>
      </c>
      <c r="I4" s="215">
        <f t="shared" si="1"/>
        <v>2201</v>
      </c>
      <c r="J4" s="215">
        <f t="shared" si="1"/>
        <v>2205</v>
      </c>
      <c r="K4" s="215">
        <f t="shared" si="1"/>
        <v>2215</v>
      </c>
      <c r="L4" s="215">
        <f t="shared" si="1"/>
        <v>2225</v>
      </c>
      <c r="M4" s="215">
        <f t="shared" si="1"/>
        <v>2231</v>
      </c>
      <c r="N4" s="215">
        <f t="shared" si="1"/>
        <v>2241</v>
      </c>
      <c r="O4" s="215">
        <f t="shared" si="1"/>
        <v>2251</v>
      </c>
      <c r="P4" s="215">
        <f t="shared" si="1"/>
        <v>2261</v>
      </c>
      <c r="Q4" s="215">
        <f t="shared" si="1"/>
        <v>2269</v>
      </c>
      <c r="R4" s="215">
        <f t="shared" si="1"/>
        <v>2277</v>
      </c>
      <c r="S4" s="215">
        <f>R4+(R11/30)</f>
        <v>2285</v>
      </c>
    </row>
    <row r="5" spans="1:26" s="7" customFormat="1" ht="18.75" x14ac:dyDescent="0.3">
      <c r="A5" s="29" t="s">
        <v>12</v>
      </c>
      <c r="B5" s="29"/>
      <c r="C5" s="296">
        <f>EconomiaT41!S24</f>
        <v>149165</v>
      </c>
      <c r="D5" s="197">
        <f>C5</f>
        <v>149165</v>
      </c>
      <c r="E5" s="197">
        <f>D24</f>
        <v>-62975</v>
      </c>
      <c r="F5" s="197">
        <f t="shared" ref="F5:S5" si="2">E24</f>
        <v>-117797</v>
      </c>
      <c r="G5" s="197">
        <f t="shared" si="2"/>
        <v>1261990</v>
      </c>
      <c r="H5" s="197">
        <f t="shared" si="2"/>
        <v>649690</v>
      </c>
      <c r="I5" s="197">
        <f t="shared" si="2"/>
        <v>685339</v>
      </c>
      <c r="J5" s="197">
        <f t="shared" si="2"/>
        <v>450996</v>
      </c>
      <c r="K5" s="197">
        <f t="shared" si="2"/>
        <v>690648</v>
      </c>
      <c r="L5" s="197">
        <f t="shared" si="2"/>
        <v>966622</v>
      </c>
      <c r="M5" s="197">
        <f t="shared" si="2"/>
        <v>745247</v>
      </c>
      <c r="N5" s="197">
        <f t="shared" si="2"/>
        <v>524395</v>
      </c>
      <c r="O5" s="197">
        <f t="shared" si="2"/>
        <v>777131</v>
      </c>
      <c r="P5" s="197">
        <f t="shared" si="2"/>
        <v>555909</v>
      </c>
      <c r="Q5" s="197">
        <f t="shared" si="2"/>
        <v>882604</v>
      </c>
      <c r="R5" s="197">
        <f t="shared" si="2"/>
        <v>599564</v>
      </c>
      <c r="S5" s="197">
        <f t="shared" si="2"/>
        <v>632862</v>
      </c>
    </row>
    <row r="6" spans="1:26" x14ac:dyDescent="0.25">
      <c r="A6" s="8" t="s">
        <v>0</v>
      </c>
      <c r="B6" s="8" t="s">
        <v>0</v>
      </c>
      <c r="C6" s="199">
        <f>SUM(D6:S6)</f>
        <v>2925905</v>
      </c>
      <c r="D6" s="200">
        <v>25248</v>
      </c>
      <c r="E6" s="200">
        <v>64977</v>
      </c>
      <c r="F6" s="200">
        <f>272664+4695</f>
        <v>277359</v>
      </c>
      <c r="G6" s="200">
        <v>9765</v>
      </c>
      <c r="H6" s="200">
        <f>264588+9000-559</f>
        <v>273029</v>
      </c>
      <c r="I6" s="200">
        <v>7866</v>
      </c>
      <c r="J6" s="200">
        <v>360372</v>
      </c>
      <c r="K6" s="200">
        <v>426133</v>
      </c>
      <c r="L6" s="200">
        <v>8667</v>
      </c>
      <c r="M6" s="200">
        <f>7000-770</f>
        <v>6230</v>
      </c>
      <c r="N6" s="200">
        <v>486408</v>
      </c>
      <c r="O6" s="200">
        <v>12901</v>
      </c>
      <c r="P6" s="200">
        <f>466473+17000-501</f>
        <v>482972</v>
      </c>
      <c r="Q6" s="200">
        <v>15746</v>
      </c>
      <c r="R6" s="200">
        <v>454073</v>
      </c>
      <c r="S6" s="200">
        <v>14159</v>
      </c>
      <c r="Y6" s="8" t="s">
        <v>0</v>
      </c>
      <c r="Z6" s="219">
        <f>C6/$C$13</f>
        <v>0.18159598385518325</v>
      </c>
    </row>
    <row r="7" spans="1:26" x14ac:dyDescent="0.25">
      <c r="A7" s="8" t="s">
        <v>2</v>
      </c>
      <c r="B7" s="8" t="s">
        <v>2</v>
      </c>
      <c r="C7" s="199">
        <f t="shared" ref="C7:C23" si="3">SUM(D7:S7)</f>
        <v>1979682</v>
      </c>
      <c r="D7" s="202">
        <f>90447+8655</f>
        <v>99102</v>
      </c>
      <c r="E7" s="202">
        <v>107675</v>
      </c>
      <c r="F7" s="202">
        <v>116555</v>
      </c>
      <c r="G7" s="202">
        <v>121365</v>
      </c>
      <c r="H7" s="202">
        <v>123770</v>
      </c>
      <c r="I7" s="202">
        <v>125435</v>
      </c>
      <c r="J7" s="202">
        <f>I7+740</f>
        <v>126175</v>
      </c>
      <c r="K7" s="202">
        <v>127100</v>
      </c>
      <c r="L7" s="202">
        <v>127655</v>
      </c>
      <c r="M7" s="202">
        <f>L7+350</f>
        <v>128005</v>
      </c>
      <c r="N7" s="202">
        <v>128395</v>
      </c>
      <c r="O7" s="202">
        <v>128950</v>
      </c>
      <c r="P7" s="202">
        <f>O7+370</f>
        <v>129320</v>
      </c>
      <c r="Q7" s="202">
        <f>P7+370</f>
        <v>129690</v>
      </c>
      <c r="R7" s="202">
        <f>Q7+370</f>
        <v>130060</v>
      </c>
      <c r="S7" s="202">
        <f>R7+370</f>
        <v>130430</v>
      </c>
      <c r="Y7" s="8" t="s">
        <v>2</v>
      </c>
      <c r="Z7" s="219">
        <f t="shared" ref="Z7:Z12" si="4">C7/$C$13</f>
        <v>0.1228687536028671</v>
      </c>
    </row>
    <row r="8" spans="1:26" x14ac:dyDescent="0.25">
      <c r="A8" s="8" t="s">
        <v>3</v>
      </c>
      <c r="B8" s="8" t="s">
        <v>48</v>
      </c>
      <c r="C8" s="199">
        <f t="shared" si="3"/>
        <v>10512782</v>
      </c>
      <c r="D8" s="200">
        <v>0</v>
      </c>
      <c r="E8" s="200">
        <v>66323</v>
      </c>
      <c r="F8" s="200">
        <f>2510995+3158838</f>
        <v>5669833</v>
      </c>
      <c r="G8" s="200">
        <f>89426+2036700</f>
        <v>2126126</v>
      </c>
      <c r="H8" s="200">
        <v>0</v>
      </c>
      <c r="I8" s="200">
        <v>0</v>
      </c>
      <c r="J8" s="200">
        <v>0</v>
      </c>
      <c r="K8" s="200">
        <v>0</v>
      </c>
      <c r="L8" s="200">
        <v>0</v>
      </c>
      <c r="M8" s="200">
        <v>0</v>
      </c>
      <c r="N8" s="200">
        <v>0</v>
      </c>
      <c r="O8" s="200">
        <v>0</v>
      </c>
      <c r="P8" s="200">
        <v>0</v>
      </c>
      <c r="Q8" s="200">
        <v>0</v>
      </c>
      <c r="R8" s="200">
        <v>0</v>
      </c>
      <c r="S8" s="200">
        <v>2650500</v>
      </c>
      <c r="Y8" s="8" t="s">
        <v>48</v>
      </c>
      <c r="Z8" s="219">
        <f t="shared" si="4"/>
        <v>0.65247470110788319</v>
      </c>
    </row>
    <row r="9" spans="1:26" x14ac:dyDescent="0.25">
      <c r="A9" s="8"/>
      <c r="B9" s="8" t="s">
        <v>820</v>
      </c>
      <c r="C9" s="199">
        <f t="shared" si="3"/>
        <v>282388</v>
      </c>
      <c r="D9" s="200">
        <v>0</v>
      </c>
      <c r="E9" s="200">
        <v>23750</v>
      </c>
      <c r="F9" s="200">
        <v>0</v>
      </c>
      <c r="G9" s="200">
        <v>0</v>
      </c>
      <c r="H9" s="200">
        <v>0</v>
      </c>
      <c r="I9" s="200">
        <v>0</v>
      </c>
      <c r="J9" s="200">
        <v>950</v>
      </c>
      <c r="K9" s="200">
        <v>84788</v>
      </c>
      <c r="L9" s="200">
        <v>0</v>
      </c>
      <c r="M9" s="200">
        <v>0</v>
      </c>
      <c r="N9" s="200">
        <v>0</v>
      </c>
      <c r="O9" s="200">
        <v>0</v>
      </c>
      <c r="P9" s="200">
        <v>0</v>
      </c>
      <c r="Q9" s="200">
        <v>0</v>
      </c>
      <c r="R9" s="200">
        <v>0</v>
      </c>
      <c r="S9" s="200">
        <v>172900</v>
      </c>
      <c r="Y9" s="8" t="s">
        <v>820</v>
      </c>
      <c r="Z9" s="219">
        <f t="shared" si="4"/>
        <v>1.7526381303869226E-2</v>
      </c>
    </row>
    <row r="10" spans="1:26" x14ac:dyDescent="0.25">
      <c r="A10" s="8" t="s">
        <v>5</v>
      </c>
      <c r="B10" s="8" t="s">
        <v>5</v>
      </c>
      <c r="C10" s="199">
        <f t="shared" si="3"/>
        <v>249769</v>
      </c>
      <c r="D10" s="202">
        <v>6120</v>
      </c>
      <c r="E10" s="202">
        <v>29250</v>
      </c>
      <c r="F10" s="202">
        <v>0</v>
      </c>
      <c r="G10" s="202">
        <v>0</v>
      </c>
      <c r="H10" s="202">
        <v>0</v>
      </c>
      <c r="I10" s="202">
        <v>163</v>
      </c>
      <c r="J10" s="202">
        <v>133762</v>
      </c>
      <c r="K10" s="202">
        <v>0</v>
      </c>
      <c r="L10" s="202">
        <v>1470</v>
      </c>
      <c r="M10" s="202">
        <v>0</v>
      </c>
      <c r="N10" s="202">
        <v>0</v>
      </c>
      <c r="O10" s="202">
        <v>500</v>
      </c>
      <c r="P10" s="202">
        <v>72708</v>
      </c>
      <c r="Q10" s="202">
        <v>4285</v>
      </c>
      <c r="R10" s="202">
        <v>126</v>
      </c>
      <c r="S10" s="202">
        <f>385+1000</f>
        <v>1385</v>
      </c>
      <c r="Y10" s="8" t="s">
        <v>5</v>
      </c>
      <c r="Z10" s="219">
        <f t="shared" si="4"/>
        <v>1.5501886524519854E-2</v>
      </c>
    </row>
    <row r="11" spans="1:26" x14ac:dyDescent="0.25">
      <c r="A11" s="728" t="s">
        <v>7</v>
      </c>
      <c r="B11" s="8" t="s">
        <v>42</v>
      </c>
      <c r="C11" s="199">
        <f t="shared" si="3"/>
        <v>71640</v>
      </c>
      <c r="D11" s="202">
        <v>150</v>
      </c>
      <c r="E11" s="202">
        <v>60</v>
      </c>
      <c r="F11" s="202">
        <v>0</v>
      </c>
      <c r="G11" s="202">
        <f t="shared" ref="G11:R11" si="5">F11</f>
        <v>0</v>
      </c>
      <c r="H11" s="202">
        <v>240</v>
      </c>
      <c r="I11" s="202">
        <v>120</v>
      </c>
      <c r="J11" s="202">
        <v>300</v>
      </c>
      <c r="K11" s="202">
        <f t="shared" si="5"/>
        <v>300</v>
      </c>
      <c r="L11" s="202">
        <v>180</v>
      </c>
      <c r="M11" s="202">
        <v>300</v>
      </c>
      <c r="N11" s="202">
        <f t="shared" si="5"/>
        <v>300</v>
      </c>
      <c r="O11" s="202">
        <f t="shared" si="5"/>
        <v>300</v>
      </c>
      <c r="P11" s="202">
        <v>240</v>
      </c>
      <c r="Q11" s="202">
        <f t="shared" si="5"/>
        <v>240</v>
      </c>
      <c r="R11" s="202">
        <f t="shared" si="5"/>
        <v>240</v>
      </c>
      <c r="S11" s="202">
        <f>(S4*30)+120</f>
        <v>68670</v>
      </c>
      <c r="Y11" s="8" t="s">
        <v>19</v>
      </c>
      <c r="Z11" s="219">
        <f t="shared" si="4"/>
        <v>4.4463290104720856E-3</v>
      </c>
    </row>
    <row r="12" spans="1:26" x14ac:dyDescent="0.25">
      <c r="A12" s="729"/>
      <c r="B12" s="8" t="s">
        <v>51</v>
      </c>
      <c r="C12" s="199">
        <f t="shared" si="3"/>
        <v>90002</v>
      </c>
      <c r="D12" s="202">
        <v>0</v>
      </c>
      <c r="E12" s="202">
        <v>0</v>
      </c>
      <c r="F12" s="202">
        <v>0</v>
      </c>
      <c r="G12" s="202">
        <v>0</v>
      </c>
      <c r="H12" s="202">
        <v>0</v>
      </c>
      <c r="I12" s="202">
        <v>0</v>
      </c>
      <c r="J12" s="202">
        <v>0</v>
      </c>
      <c r="K12" s="202">
        <v>0</v>
      </c>
      <c r="L12" s="202">
        <v>0</v>
      </c>
      <c r="M12" s="202">
        <v>0</v>
      </c>
      <c r="N12" s="202">
        <v>0</v>
      </c>
      <c r="O12" s="202">
        <v>0</v>
      </c>
      <c r="P12" s="202">
        <v>0</v>
      </c>
      <c r="Q12" s="202">
        <v>0</v>
      </c>
      <c r="R12" s="202">
        <v>0</v>
      </c>
      <c r="S12" s="202">
        <f>90002</f>
        <v>90002</v>
      </c>
      <c r="Y12" s="8" t="s">
        <v>51</v>
      </c>
      <c r="Z12" s="219">
        <f t="shared" si="4"/>
        <v>5.5859645952053135E-3</v>
      </c>
    </row>
    <row r="13" spans="1:26" s="21" customFormat="1" ht="18.75" x14ac:dyDescent="0.3">
      <c r="A13" s="19" t="s">
        <v>14</v>
      </c>
      <c r="B13" s="20"/>
      <c r="C13" s="203">
        <f t="shared" si="3"/>
        <v>16112168</v>
      </c>
      <c r="D13" s="204">
        <f t="shared" ref="D13:I13" si="6">SUM(D6:D12)</f>
        <v>130620</v>
      </c>
      <c r="E13" s="204">
        <f t="shared" si="6"/>
        <v>292035</v>
      </c>
      <c r="F13" s="204">
        <f t="shared" si="6"/>
        <v>6063747</v>
      </c>
      <c r="G13" s="204">
        <f>G12+G11+G10+G9+G8+G7+G6</f>
        <v>2257256</v>
      </c>
      <c r="H13" s="204">
        <f t="shared" si="6"/>
        <v>397039</v>
      </c>
      <c r="I13" s="204">
        <f t="shared" si="6"/>
        <v>133584</v>
      </c>
      <c r="J13" s="204">
        <f t="shared" ref="J13:S13" si="7">SUM(J6:J12)</f>
        <v>621559</v>
      </c>
      <c r="K13" s="204">
        <f t="shared" si="7"/>
        <v>638321</v>
      </c>
      <c r="L13" s="204">
        <f t="shared" si="7"/>
        <v>137972</v>
      </c>
      <c r="M13" s="204">
        <f t="shared" si="7"/>
        <v>134535</v>
      </c>
      <c r="N13" s="204">
        <f t="shared" si="7"/>
        <v>615103</v>
      </c>
      <c r="O13" s="204">
        <f t="shared" si="7"/>
        <v>142651</v>
      </c>
      <c r="P13" s="204">
        <f t="shared" si="7"/>
        <v>685240</v>
      </c>
      <c r="Q13" s="204">
        <f t="shared" si="7"/>
        <v>149961</v>
      </c>
      <c r="R13" s="204">
        <f t="shared" si="7"/>
        <v>584499</v>
      </c>
      <c r="S13" s="204">
        <f t="shared" si="7"/>
        <v>3128046</v>
      </c>
      <c r="Z13" s="222">
        <f>SUM(Z6:Z12)</f>
        <v>1</v>
      </c>
    </row>
    <row r="14" spans="1:26" ht="18.75" x14ac:dyDescent="0.3">
      <c r="A14" s="22" t="s">
        <v>1</v>
      </c>
      <c r="B14" s="23" t="str">
        <f>A14</f>
        <v>Sueldos</v>
      </c>
      <c r="C14" s="206">
        <f t="shared" si="3"/>
        <v>4046934</v>
      </c>
      <c r="D14" s="207">
        <v>246582</v>
      </c>
      <c r="E14" s="207">
        <v>246582</v>
      </c>
      <c r="F14" s="207">
        <v>246716</v>
      </c>
      <c r="G14" s="207">
        <v>259482</v>
      </c>
      <c r="H14" s="207">
        <v>252012</v>
      </c>
      <c r="I14" s="207">
        <v>256914</v>
      </c>
      <c r="J14" s="207">
        <v>257694</v>
      </c>
      <c r="K14" s="207">
        <v>255534</v>
      </c>
      <c r="L14" s="207">
        <f t="shared" ref="F14:S15" si="8">K14</f>
        <v>255534</v>
      </c>
      <c r="M14" s="207">
        <v>253974</v>
      </c>
      <c r="N14" s="207">
        <v>252954</v>
      </c>
      <c r="O14" s="207">
        <v>252860</v>
      </c>
      <c r="P14" s="207">
        <v>251732</v>
      </c>
      <c r="Q14" s="207">
        <v>249788</v>
      </c>
      <c r="R14" s="207">
        <v>252458</v>
      </c>
      <c r="S14" s="207">
        <v>256118</v>
      </c>
      <c r="Y14" s="744">
        <f>C13</f>
        <v>16112168</v>
      </c>
      <c r="Z14" s="745"/>
    </row>
    <row r="15" spans="1:26" x14ac:dyDescent="0.25">
      <c r="A15" s="22" t="s">
        <v>29</v>
      </c>
      <c r="B15" s="23" t="str">
        <f>A15</f>
        <v xml:space="preserve">Mantenimiento </v>
      </c>
      <c r="C15" s="206">
        <f t="shared" si="3"/>
        <v>488033</v>
      </c>
      <c r="D15" s="207">
        <f>EconomiaT41!S15</f>
        <v>29378</v>
      </c>
      <c r="E15" s="207">
        <f t="shared" ref="E15" si="9">D15</f>
        <v>29378</v>
      </c>
      <c r="F15" s="207">
        <f t="shared" si="8"/>
        <v>29378</v>
      </c>
      <c r="G15" s="207">
        <f t="shared" si="8"/>
        <v>29378</v>
      </c>
      <c r="H15" s="207">
        <f t="shared" si="8"/>
        <v>29378</v>
      </c>
      <c r="I15" s="207">
        <v>31013</v>
      </c>
      <c r="J15" s="207">
        <f t="shared" si="8"/>
        <v>31013</v>
      </c>
      <c r="K15" s="207">
        <f t="shared" si="8"/>
        <v>31013</v>
      </c>
      <c r="L15" s="207">
        <f t="shared" si="8"/>
        <v>31013</v>
      </c>
      <c r="M15" s="207">
        <f t="shared" si="8"/>
        <v>31013</v>
      </c>
      <c r="N15" s="207">
        <f t="shared" si="8"/>
        <v>31013</v>
      </c>
      <c r="O15" s="207">
        <f t="shared" si="8"/>
        <v>31013</v>
      </c>
      <c r="P15" s="207">
        <f t="shared" si="8"/>
        <v>31013</v>
      </c>
      <c r="Q15" s="207">
        <f t="shared" si="8"/>
        <v>31013</v>
      </c>
      <c r="R15" s="207">
        <f t="shared" si="8"/>
        <v>31013</v>
      </c>
      <c r="S15" s="207">
        <f t="shared" si="8"/>
        <v>31013</v>
      </c>
    </row>
    <row r="16" spans="1:26" x14ac:dyDescent="0.25">
      <c r="A16" s="22" t="s">
        <v>4</v>
      </c>
      <c r="B16" s="23" t="s">
        <v>30</v>
      </c>
      <c r="C16" s="206">
        <f t="shared" si="3"/>
        <v>301580</v>
      </c>
      <c r="D16" s="207">
        <v>0</v>
      </c>
      <c r="E16" s="207">
        <v>0</v>
      </c>
      <c r="F16" s="207">
        <v>165955</v>
      </c>
      <c r="G16" s="207">
        <v>0</v>
      </c>
      <c r="H16" s="207">
        <v>0</v>
      </c>
      <c r="I16" s="207">
        <v>0</v>
      </c>
      <c r="J16" s="207">
        <v>0</v>
      </c>
      <c r="K16" s="207">
        <v>0</v>
      </c>
      <c r="L16" s="207">
        <v>0</v>
      </c>
      <c r="M16" s="207">
        <v>0</v>
      </c>
      <c r="N16" s="207">
        <v>0</v>
      </c>
      <c r="O16" s="207">
        <v>0</v>
      </c>
      <c r="P16" s="207">
        <v>0</v>
      </c>
      <c r="Q16" s="207">
        <v>0</v>
      </c>
      <c r="R16" s="207">
        <v>0</v>
      </c>
      <c r="S16" s="207">
        <v>135625</v>
      </c>
    </row>
    <row r="17" spans="1:26" x14ac:dyDescent="0.25">
      <c r="A17" s="22" t="s">
        <v>6</v>
      </c>
      <c r="B17" s="23" t="str">
        <f>A17</f>
        <v>Empleados</v>
      </c>
      <c r="C17" s="206">
        <f t="shared" si="3"/>
        <v>790200</v>
      </c>
      <c r="D17" s="207">
        <v>46800</v>
      </c>
      <c r="E17" s="207">
        <v>46800</v>
      </c>
      <c r="F17" s="207">
        <v>46800</v>
      </c>
      <c r="G17" s="207">
        <v>54000</v>
      </c>
      <c r="H17" s="207">
        <f t="shared" ref="H17:R17" si="10">G17</f>
        <v>54000</v>
      </c>
      <c r="I17" s="207">
        <f t="shared" si="10"/>
        <v>54000</v>
      </c>
      <c r="J17" s="207">
        <f t="shared" si="10"/>
        <v>54000</v>
      </c>
      <c r="K17" s="207">
        <f>J17-(1800*4)</f>
        <v>46800</v>
      </c>
      <c r="L17" s="207">
        <f t="shared" si="10"/>
        <v>46800</v>
      </c>
      <c r="M17" s="207">
        <v>50400</v>
      </c>
      <c r="N17" s="207">
        <f t="shared" si="10"/>
        <v>50400</v>
      </c>
      <c r="O17" s="207">
        <f t="shared" si="10"/>
        <v>50400</v>
      </c>
      <c r="P17" s="207">
        <v>46800</v>
      </c>
      <c r="Q17" s="207">
        <f t="shared" si="10"/>
        <v>46800</v>
      </c>
      <c r="R17" s="207">
        <f t="shared" si="10"/>
        <v>46800</v>
      </c>
      <c r="S17" s="207">
        <v>48600</v>
      </c>
    </row>
    <row r="18" spans="1:26" x14ac:dyDescent="0.25">
      <c r="A18" s="22" t="s">
        <v>8</v>
      </c>
      <c r="B18" s="23" t="str">
        <f>A18</f>
        <v>Juveniles</v>
      </c>
      <c r="C18" s="206">
        <f t="shared" si="3"/>
        <v>320000</v>
      </c>
      <c r="D18" s="207">
        <f>EconomiaT38!S18</f>
        <v>20000</v>
      </c>
      <c r="E18" s="207">
        <f>D18</f>
        <v>20000</v>
      </c>
      <c r="F18" s="207">
        <f t="shared" ref="F18:P18" si="11">E18</f>
        <v>20000</v>
      </c>
      <c r="G18" s="207">
        <f t="shared" si="11"/>
        <v>20000</v>
      </c>
      <c r="H18" s="207">
        <f t="shared" si="11"/>
        <v>20000</v>
      </c>
      <c r="I18" s="207">
        <f t="shared" si="11"/>
        <v>20000</v>
      </c>
      <c r="J18" s="207">
        <f t="shared" si="11"/>
        <v>20000</v>
      </c>
      <c r="K18" s="207">
        <f t="shared" si="11"/>
        <v>20000</v>
      </c>
      <c r="L18" s="207">
        <f t="shared" si="11"/>
        <v>20000</v>
      </c>
      <c r="M18" s="207">
        <f t="shared" si="11"/>
        <v>20000</v>
      </c>
      <c r="N18" s="207">
        <f t="shared" si="11"/>
        <v>20000</v>
      </c>
      <c r="O18" s="207">
        <f t="shared" si="11"/>
        <v>20000</v>
      </c>
      <c r="P18" s="207">
        <f t="shared" si="11"/>
        <v>20000</v>
      </c>
      <c r="Q18" s="207">
        <f>P18</f>
        <v>20000</v>
      </c>
      <c r="R18" s="207">
        <f>Q18</f>
        <v>20000</v>
      </c>
      <c r="S18" s="207">
        <f>R18</f>
        <v>20000</v>
      </c>
    </row>
    <row r="19" spans="1:26" x14ac:dyDescent="0.25">
      <c r="A19" s="22" t="s">
        <v>9</v>
      </c>
      <c r="B19" s="23" t="s">
        <v>50</v>
      </c>
      <c r="C19" s="206">
        <f t="shared" si="3"/>
        <v>7134696</v>
      </c>
      <c r="D19" s="207">
        <v>0</v>
      </c>
      <c r="E19" s="207">
        <v>0</v>
      </c>
      <c r="F19" s="207">
        <v>4167188</v>
      </c>
      <c r="G19" s="207">
        <v>2493696</v>
      </c>
      <c r="H19" s="207">
        <v>0</v>
      </c>
      <c r="I19" s="207">
        <v>0</v>
      </c>
      <c r="J19" s="207">
        <v>0</v>
      </c>
      <c r="K19" s="207">
        <v>0</v>
      </c>
      <c r="L19" s="207">
        <v>0</v>
      </c>
      <c r="M19" s="207">
        <v>0</v>
      </c>
      <c r="N19" s="207">
        <v>0</v>
      </c>
      <c r="O19" s="207">
        <v>0</v>
      </c>
      <c r="P19" s="207">
        <v>0</v>
      </c>
      <c r="Q19" s="207">
        <f>25000+708+40000+684+3000+444+1000+564</f>
        <v>71400</v>
      </c>
      <c r="R19" s="207">
        <f>146438+42000+492</f>
        <v>188930</v>
      </c>
      <c r="S19" s="207">
        <f>133360+30000+33000+15000+730+780+612</f>
        <v>213482</v>
      </c>
    </row>
    <row r="20" spans="1:26" x14ac:dyDescent="0.25">
      <c r="A20" s="24" t="s">
        <v>7</v>
      </c>
      <c r="B20" s="23" t="s">
        <v>11</v>
      </c>
      <c r="C20" s="206">
        <f t="shared" si="3"/>
        <v>0</v>
      </c>
      <c r="D20" s="207">
        <v>0</v>
      </c>
      <c r="E20" s="207">
        <v>0</v>
      </c>
      <c r="F20" s="207">
        <v>0</v>
      </c>
      <c r="G20" s="207">
        <v>0</v>
      </c>
      <c r="H20" s="207">
        <v>0</v>
      </c>
      <c r="I20" s="207">
        <v>0</v>
      </c>
      <c r="J20" s="207">
        <v>0</v>
      </c>
      <c r="K20" s="207">
        <v>0</v>
      </c>
      <c r="L20" s="207">
        <v>0</v>
      </c>
      <c r="M20" s="207">
        <v>0</v>
      </c>
      <c r="N20" s="207">
        <v>0</v>
      </c>
      <c r="O20" s="207">
        <v>0</v>
      </c>
      <c r="P20" s="207">
        <v>0</v>
      </c>
      <c r="Q20" s="207">
        <v>0</v>
      </c>
      <c r="R20" s="207">
        <v>0</v>
      </c>
      <c r="S20" s="207">
        <v>0</v>
      </c>
    </row>
    <row r="21" spans="1:26" x14ac:dyDescent="0.25">
      <c r="A21" s="24"/>
      <c r="B21" s="23" t="s">
        <v>818</v>
      </c>
      <c r="C21" s="206">
        <f t="shared" si="3"/>
        <v>131600</v>
      </c>
      <c r="D21" s="207">
        <v>0</v>
      </c>
      <c r="E21" s="207">
        <v>2000</v>
      </c>
      <c r="F21" s="207">
        <v>4000</v>
      </c>
      <c r="G21" s="207">
        <v>13000</v>
      </c>
      <c r="H21" s="207">
        <v>6000</v>
      </c>
      <c r="I21" s="207">
        <v>6000</v>
      </c>
      <c r="J21" s="207">
        <v>19200</v>
      </c>
      <c r="K21" s="207">
        <v>9000</v>
      </c>
      <c r="L21" s="207">
        <v>6000</v>
      </c>
      <c r="M21" s="207">
        <v>0</v>
      </c>
      <c r="N21" s="207">
        <v>8000</v>
      </c>
      <c r="O21" s="207">
        <v>9600</v>
      </c>
      <c r="P21" s="207">
        <v>9000</v>
      </c>
      <c r="Q21" s="207">
        <v>14000</v>
      </c>
      <c r="R21" s="207">
        <v>12000</v>
      </c>
      <c r="S21" s="207">
        <v>13800</v>
      </c>
    </row>
    <row r="22" spans="1:26" x14ac:dyDescent="0.25">
      <c r="A22" s="22" t="s">
        <v>10</v>
      </c>
      <c r="B22" s="23" t="str">
        <f>A22</f>
        <v>Intereses</v>
      </c>
      <c r="C22" s="206">
        <f t="shared" si="3"/>
        <v>6020</v>
      </c>
      <c r="D22" s="207">
        <v>0</v>
      </c>
      <c r="E22" s="207">
        <v>2097</v>
      </c>
      <c r="F22" s="207">
        <v>3923</v>
      </c>
      <c r="G22" s="207">
        <v>0</v>
      </c>
      <c r="H22" s="207">
        <v>0</v>
      </c>
      <c r="I22" s="207">
        <v>0</v>
      </c>
      <c r="J22" s="207">
        <v>0</v>
      </c>
      <c r="K22" s="207">
        <v>0</v>
      </c>
      <c r="L22" s="207">
        <v>0</v>
      </c>
      <c r="M22" s="207">
        <v>0</v>
      </c>
      <c r="N22" s="207">
        <v>0</v>
      </c>
      <c r="O22" s="207">
        <v>0</v>
      </c>
      <c r="P22" s="207">
        <v>0</v>
      </c>
      <c r="Q22" s="207">
        <v>0</v>
      </c>
      <c r="R22" s="207">
        <v>0</v>
      </c>
      <c r="S22" s="207">
        <v>0</v>
      </c>
    </row>
    <row r="23" spans="1:26" s="31" customFormat="1" ht="18.75" x14ac:dyDescent="0.3">
      <c r="A23" s="25" t="s">
        <v>15</v>
      </c>
      <c r="B23" s="26"/>
      <c r="C23" s="209">
        <f t="shared" si="3"/>
        <v>13219063</v>
      </c>
      <c r="D23" s="210">
        <f t="shared" ref="D23:S23" si="12">SUM(D14:D22)</f>
        <v>342760</v>
      </c>
      <c r="E23" s="210">
        <f t="shared" si="12"/>
        <v>346857</v>
      </c>
      <c r="F23" s="210">
        <f t="shared" si="12"/>
        <v>4683960</v>
      </c>
      <c r="G23" s="210">
        <f t="shared" si="12"/>
        <v>2869556</v>
      </c>
      <c r="H23" s="210">
        <f t="shared" si="12"/>
        <v>361390</v>
      </c>
      <c r="I23" s="210">
        <f t="shared" si="12"/>
        <v>367927</v>
      </c>
      <c r="J23" s="210">
        <f t="shared" si="12"/>
        <v>381907</v>
      </c>
      <c r="K23" s="210">
        <f t="shared" si="12"/>
        <v>362347</v>
      </c>
      <c r="L23" s="210">
        <f t="shared" si="12"/>
        <v>359347</v>
      </c>
      <c r="M23" s="210">
        <f t="shared" si="12"/>
        <v>355387</v>
      </c>
      <c r="N23" s="210">
        <f t="shared" si="12"/>
        <v>362367</v>
      </c>
      <c r="O23" s="210">
        <f t="shared" si="12"/>
        <v>363873</v>
      </c>
      <c r="P23" s="210">
        <f t="shared" si="12"/>
        <v>358545</v>
      </c>
      <c r="Q23" s="210">
        <f t="shared" si="12"/>
        <v>433001</v>
      </c>
      <c r="R23" s="210">
        <f t="shared" si="12"/>
        <v>551201</v>
      </c>
      <c r="S23" s="210">
        <f t="shared" si="12"/>
        <v>718638</v>
      </c>
      <c r="Y23" s="23" t="s">
        <v>1</v>
      </c>
      <c r="Z23" s="220">
        <f>C14/$C$23</f>
        <v>0.30614378643932627</v>
      </c>
    </row>
    <row r="24" spans="1:26" s="7" customFormat="1" ht="18.75" x14ac:dyDescent="0.3">
      <c r="A24" s="9" t="s">
        <v>20</v>
      </c>
      <c r="B24" s="9"/>
      <c r="C24" s="197">
        <f>C5+C13-C23</f>
        <v>3042270</v>
      </c>
      <c r="D24" s="197">
        <f t="shared" ref="D24:S24" si="13">D5+D13-D23</f>
        <v>-62975</v>
      </c>
      <c r="E24" s="197">
        <f t="shared" si="13"/>
        <v>-117797</v>
      </c>
      <c r="F24" s="197">
        <f t="shared" si="13"/>
        <v>1261990</v>
      </c>
      <c r="G24" s="197">
        <f t="shared" si="13"/>
        <v>649690</v>
      </c>
      <c r="H24" s="197">
        <f t="shared" si="13"/>
        <v>685339</v>
      </c>
      <c r="I24" s="197">
        <f t="shared" si="13"/>
        <v>450996</v>
      </c>
      <c r="J24" s="197">
        <f t="shared" si="13"/>
        <v>690648</v>
      </c>
      <c r="K24" s="197">
        <f t="shared" si="13"/>
        <v>966622</v>
      </c>
      <c r="L24" s="197">
        <f t="shared" si="13"/>
        <v>745247</v>
      </c>
      <c r="M24" s="197">
        <f t="shared" si="13"/>
        <v>524395</v>
      </c>
      <c r="N24" s="197">
        <f t="shared" si="13"/>
        <v>777131</v>
      </c>
      <c r="O24" s="197">
        <f t="shared" si="13"/>
        <v>555909</v>
      </c>
      <c r="P24" s="197">
        <f t="shared" si="13"/>
        <v>882604</v>
      </c>
      <c r="Q24" s="197">
        <f t="shared" si="13"/>
        <v>599564</v>
      </c>
      <c r="R24" s="197">
        <f t="shared" si="13"/>
        <v>632862</v>
      </c>
      <c r="S24" s="197">
        <f t="shared" si="13"/>
        <v>3042270</v>
      </c>
      <c r="Y24" s="23" t="s">
        <v>29</v>
      </c>
      <c r="Z24" s="220">
        <f t="shared" ref="Z24:Z31" si="14">C15/$C$23</f>
        <v>3.6918879953896887E-2</v>
      </c>
    </row>
    <row r="25" spans="1:26" s="178" customFormat="1" x14ac:dyDescent="0.25">
      <c r="A25" s="182"/>
      <c r="B25" s="182"/>
      <c r="C25" s="182"/>
      <c r="D25" s="183">
        <f>D2+6</f>
        <v>41635</v>
      </c>
      <c r="E25" s="183">
        <f>D25+7</f>
        <v>41642</v>
      </c>
      <c r="F25" s="183">
        <f t="shared" ref="F25:S25" si="15">E25+7</f>
        <v>41649</v>
      </c>
      <c r="G25" s="183">
        <f t="shared" si="15"/>
        <v>41656</v>
      </c>
      <c r="H25" s="183">
        <f t="shared" si="15"/>
        <v>41663</v>
      </c>
      <c r="I25" s="183">
        <f t="shared" si="15"/>
        <v>41670</v>
      </c>
      <c r="J25" s="183">
        <f t="shared" si="15"/>
        <v>41677</v>
      </c>
      <c r="K25" s="183">
        <f t="shared" si="15"/>
        <v>41684</v>
      </c>
      <c r="L25" s="183">
        <f t="shared" si="15"/>
        <v>41691</v>
      </c>
      <c r="M25" s="183">
        <f t="shared" si="15"/>
        <v>41698</v>
      </c>
      <c r="N25" s="183">
        <f t="shared" si="15"/>
        <v>41705</v>
      </c>
      <c r="O25" s="183">
        <f t="shared" si="15"/>
        <v>41712</v>
      </c>
      <c r="P25" s="183">
        <f t="shared" si="15"/>
        <v>41719</v>
      </c>
      <c r="Q25" s="183">
        <f t="shared" si="15"/>
        <v>41726</v>
      </c>
      <c r="R25" s="183">
        <f t="shared" si="15"/>
        <v>41733</v>
      </c>
      <c r="S25" s="183">
        <f t="shared" si="15"/>
        <v>41740</v>
      </c>
      <c r="Y25" s="23" t="s">
        <v>30</v>
      </c>
      <c r="Z25" s="220">
        <f t="shared" si="14"/>
        <v>2.2814022446220279E-2</v>
      </c>
    </row>
    <row r="26" spans="1:26" s="178" customFormat="1" x14ac:dyDescent="0.25">
      <c r="A26" s="732" t="s">
        <v>942</v>
      </c>
      <c r="B26" s="732"/>
      <c r="C26" s="223">
        <f>C6+C7+C11</f>
        <v>4977227</v>
      </c>
      <c r="D26" s="223">
        <f t="shared" ref="D26:S26" si="16">D6+D7+D11</f>
        <v>124500</v>
      </c>
      <c r="E26" s="223">
        <f t="shared" si="16"/>
        <v>172712</v>
      </c>
      <c r="F26" s="223">
        <f t="shared" si="16"/>
        <v>393914</v>
      </c>
      <c r="G26" s="223">
        <f t="shared" si="16"/>
        <v>131130</v>
      </c>
      <c r="H26" s="223">
        <f t="shared" si="16"/>
        <v>397039</v>
      </c>
      <c r="I26" s="223">
        <f>I6+I7+I11</f>
        <v>133421</v>
      </c>
      <c r="J26" s="223">
        <f>J6+J7+J11</f>
        <v>486847</v>
      </c>
      <c r="K26" s="223">
        <f t="shared" si="16"/>
        <v>553533</v>
      </c>
      <c r="L26" s="223">
        <f t="shared" si="16"/>
        <v>136502</v>
      </c>
      <c r="M26" s="223">
        <f t="shared" si="16"/>
        <v>134535</v>
      </c>
      <c r="N26" s="223">
        <f t="shared" si="16"/>
        <v>615103</v>
      </c>
      <c r="O26" s="223">
        <f t="shared" si="16"/>
        <v>142151</v>
      </c>
      <c r="P26" s="223">
        <f t="shared" si="16"/>
        <v>612532</v>
      </c>
      <c r="Q26" s="223">
        <f t="shared" si="16"/>
        <v>145676</v>
      </c>
      <c r="R26" s="223">
        <f t="shared" si="16"/>
        <v>584373</v>
      </c>
      <c r="S26" s="223">
        <f t="shared" si="16"/>
        <v>213259</v>
      </c>
      <c r="T26" s="194"/>
      <c r="Y26" s="23" t="s">
        <v>6</v>
      </c>
      <c r="Z26" s="220">
        <f t="shared" si="14"/>
        <v>5.9777307968045847E-2</v>
      </c>
    </row>
    <row r="27" spans="1:26" s="178" customFormat="1" x14ac:dyDescent="0.25">
      <c r="A27" s="733" t="s">
        <v>943</v>
      </c>
      <c r="B27" s="733"/>
      <c r="C27" s="224">
        <f>C14+C15+C17+C18+C21</f>
        <v>5776767</v>
      </c>
      <c r="D27" s="224">
        <f t="shared" ref="D27:S27" si="17">D14+D15+D17+D18+D21</f>
        <v>342760</v>
      </c>
      <c r="E27" s="224">
        <f t="shared" si="17"/>
        <v>344760</v>
      </c>
      <c r="F27" s="224">
        <f t="shared" si="17"/>
        <v>346894</v>
      </c>
      <c r="G27" s="224">
        <f t="shared" si="17"/>
        <v>375860</v>
      </c>
      <c r="H27" s="224">
        <f t="shared" si="17"/>
        <v>361390</v>
      </c>
      <c r="I27" s="224">
        <f t="shared" si="17"/>
        <v>367927</v>
      </c>
      <c r="J27" s="224">
        <f t="shared" si="17"/>
        <v>381907</v>
      </c>
      <c r="K27" s="224">
        <f t="shared" si="17"/>
        <v>362347</v>
      </c>
      <c r="L27" s="224">
        <f t="shared" si="17"/>
        <v>359347</v>
      </c>
      <c r="M27" s="224">
        <f t="shared" si="17"/>
        <v>355387</v>
      </c>
      <c r="N27" s="224">
        <f t="shared" si="17"/>
        <v>362367</v>
      </c>
      <c r="O27" s="224">
        <f t="shared" si="17"/>
        <v>363873</v>
      </c>
      <c r="P27" s="224">
        <f t="shared" si="17"/>
        <v>358545</v>
      </c>
      <c r="Q27" s="224">
        <f t="shared" si="17"/>
        <v>361601</v>
      </c>
      <c r="R27" s="224">
        <f t="shared" si="17"/>
        <v>362271</v>
      </c>
      <c r="S27" s="224">
        <f t="shared" si="17"/>
        <v>369531</v>
      </c>
      <c r="T27" s="195"/>
      <c r="Y27" s="23" t="s">
        <v>8</v>
      </c>
      <c r="Z27" s="220">
        <f t="shared" si="14"/>
        <v>2.4207464628922641E-2</v>
      </c>
    </row>
    <row r="28" spans="1:26" x14ac:dyDescent="0.25">
      <c r="A28" s="734" t="s">
        <v>944</v>
      </c>
      <c r="B28" s="734"/>
      <c r="C28" s="212">
        <f>C26-C27</f>
        <v>-799540</v>
      </c>
      <c r="D28" s="212">
        <f t="shared" ref="D28:S28" si="18">D26-D27</f>
        <v>-218260</v>
      </c>
      <c r="E28" s="212">
        <f t="shared" si="18"/>
        <v>-172048</v>
      </c>
      <c r="F28" s="212">
        <f t="shared" si="18"/>
        <v>47020</v>
      </c>
      <c r="G28" s="212">
        <f t="shared" si="18"/>
        <v>-244730</v>
      </c>
      <c r="H28" s="212">
        <f t="shared" si="18"/>
        <v>35649</v>
      </c>
      <c r="I28" s="212">
        <f t="shared" si="18"/>
        <v>-234506</v>
      </c>
      <c r="J28" s="212">
        <f t="shared" si="18"/>
        <v>104940</v>
      </c>
      <c r="K28" s="212">
        <f t="shared" si="18"/>
        <v>191186</v>
      </c>
      <c r="L28" s="212">
        <f t="shared" si="18"/>
        <v>-222845</v>
      </c>
      <c r="M28" s="212">
        <f t="shared" si="18"/>
        <v>-220852</v>
      </c>
      <c r="N28" s="212">
        <f t="shared" si="18"/>
        <v>252736</v>
      </c>
      <c r="O28" s="212">
        <f t="shared" si="18"/>
        <v>-221722</v>
      </c>
      <c r="P28" s="212">
        <f t="shared" si="18"/>
        <v>253987</v>
      </c>
      <c r="Q28" s="212">
        <f t="shared" si="18"/>
        <v>-215925</v>
      </c>
      <c r="R28" s="212">
        <f t="shared" si="18"/>
        <v>222102</v>
      </c>
      <c r="S28" s="212">
        <f t="shared" si="18"/>
        <v>-156272</v>
      </c>
      <c r="T28" s="192"/>
      <c r="Y28" s="23" t="s">
        <v>50</v>
      </c>
      <c r="Z28" s="220">
        <f t="shared" si="14"/>
        <v>0.539727815806612</v>
      </c>
    </row>
    <row r="29" spans="1:26" x14ac:dyDescent="0.25">
      <c r="A29" s="732" t="s">
        <v>945</v>
      </c>
      <c r="B29" s="732"/>
      <c r="C29" s="223">
        <f>C8+C9+C10+C12</f>
        <v>11134941</v>
      </c>
      <c r="D29" s="223">
        <f t="shared" ref="D29:S29" si="19">D8+D9+D10+D12</f>
        <v>6120</v>
      </c>
      <c r="E29" s="223">
        <f t="shared" si="19"/>
        <v>119323</v>
      </c>
      <c r="F29" s="223">
        <f t="shared" si="19"/>
        <v>5669833</v>
      </c>
      <c r="G29" s="223">
        <f t="shared" si="19"/>
        <v>2126126</v>
      </c>
      <c r="H29" s="223">
        <f t="shared" si="19"/>
        <v>0</v>
      </c>
      <c r="I29" s="223">
        <f t="shared" si="19"/>
        <v>163</v>
      </c>
      <c r="J29" s="223">
        <f t="shared" si="19"/>
        <v>134712</v>
      </c>
      <c r="K29" s="223">
        <f t="shared" si="19"/>
        <v>84788</v>
      </c>
      <c r="L29" s="223">
        <f t="shared" si="19"/>
        <v>1470</v>
      </c>
      <c r="M29" s="223">
        <f t="shared" si="19"/>
        <v>0</v>
      </c>
      <c r="N29" s="223">
        <f t="shared" si="19"/>
        <v>0</v>
      </c>
      <c r="O29" s="223">
        <f t="shared" si="19"/>
        <v>500</v>
      </c>
      <c r="P29" s="223">
        <f t="shared" si="19"/>
        <v>72708</v>
      </c>
      <c r="Q29" s="223">
        <f t="shared" si="19"/>
        <v>4285</v>
      </c>
      <c r="R29" s="223">
        <f t="shared" si="19"/>
        <v>126</v>
      </c>
      <c r="S29" s="223">
        <f t="shared" si="19"/>
        <v>2914787</v>
      </c>
      <c r="T29" s="192"/>
      <c r="Y29" s="23" t="s">
        <v>11</v>
      </c>
      <c r="Z29" s="220">
        <f t="shared" si="14"/>
        <v>0</v>
      </c>
    </row>
    <row r="30" spans="1:26" s="6" customFormat="1" x14ac:dyDescent="0.25">
      <c r="A30" s="733" t="s">
        <v>946</v>
      </c>
      <c r="B30" s="733"/>
      <c r="C30" s="224">
        <f>C16+C19+C20+C22</f>
        <v>7442296</v>
      </c>
      <c r="D30" s="224">
        <f t="shared" ref="D30:S30" si="20">D16+D19+D20+D22</f>
        <v>0</v>
      </c>
      <c r="E30" s="224">
        <f t="shared" si="20"/>
        <v>2097</v>
      </c>
      <c r="F30" s="224">
        <f t="shared" si="20"/>
        <v>4337066</v>
      </c>
      <c r="G30" s="224">
        <f t="shared" si="20"/>
        <v>2493696</v>
      </c>
      <c r="H30" s="224">
        <f t="shared" si="20"/>
        <v>0</v>
      </c>
      <c r="I30" s="224">
        <f t="shared" si="20"/>
        <v>0</v>
      </c>
      <c r="J30" s="224">
        <f t="shared" si="20"/>
        <v>0</v>
      </c>
      <c r="K30" s="224">
        <f t="shared" si="20"/>
        <v>0</v>
      </c>
      <c r="L30" s="224">
        <f t="shared" si="20"/>
        <v>0</v>
      </c>
      <c r="M30" s="224">
        <f t="shared" si="20"/>
        <v>0</v>
      </c>
      <c r="N30" s="224">
        <f t="shared" si="20"/>
        <v>0</v>
      </c>
      <c r="O30" s="224">
        <f t="shared" si="20"/>
        <v>0</v>
      </c>
      <c r="P30" s="224">
        <f t="shared" si="20"/>
        <v>0</v>
      </c>
      <c r="Q30" s="224">
        <f t="shared" si="20"/>
        <v>71400</v>
      </c>
      <c r="R30" s="224">
        <f t="shared" si="20"/>
        <v>188930</v>
      </c>
      <c r="S30" s="224">
        <f t="shared" si="20"/>
        <v>349107</v>
      </c>
      <c r="Y30" s="23" t="s">
        <v>818</v>
      </c>
      <c r="Z30" s="220">
        <f t="shared" si="14"/>
        <v>9.955319828644435E-3</v>
      </c>
    </row>
    <row r="31" spans="1:26" s="6" customFormat="1" x14ac:dyDescent="0.25">
      <c r="A31" s="734" t="s">
        <v>947</v>
      </c>
      <c r="B31" s="734"/>
      <c r="C31" s="212">
        <f>C29-C30</f>
        <v>3692645</v>
      </c>
      <c r="D31" s="212">
        <f t="shared" ref="D31:S31" si="21">D29-D30</f>
        <v>6120</v>
      </c>
      <c r="E31" s="212">
        <f t="shared" si="21"/>
        <v>117226</v>
      </c>
      <c r="F31" s="212">
        <f t="shared" si="21"/>
        <v>1332767</v>
      </c>
      <c r="G31" s="212">
        <f t="shared" si="21"/>
        <v>-367570</v>
      </c>
      <c r="H31" s="212">
        <f t="shared" si="21"/>
        <v>0</v>
      </c>
      <c r="I31" s="212">
        <f t="shared" si="21"/>
        <v>163</v>
      </c>
      <c r="J31" s="212">
        <f t="shared" si="21"/>
        <v>134712</v>
      </c>
      <c r="K31" s="212">
        <f t="shared" si="21"/>
        <v>84788</v>
      </c>
      <c r="L31" s="212">
        <f t="shared" si="21"/>
        <v>1470</v>
      </c>
      <c r="M31" s="212">
        <f t="shared" si="21"/>
        <v>0</v>
      </c>
      <c r="N31" s="212">
        <f t="shared" si="21"/>
        <v>0</v>
      </c>
      <c r="O31" s="212">
        <f t="shared" si="21"/>
        <v>500</v>
      </c>
      <c r="P31" s="212">
        <f t="shared" si="21"/>
        <v>72708</v>
      </c>
      <c r="Q31" s="212">
        <f t="shared" si="21"/>
        <v>-67115</v>
      </c>
      <c r="R31" s="212">
        <f t="shared" si="21"/>
        <v>-188804</v>
      </c>
      <c r="S31" s="212">
        <f t="shared" si="21"/>
        <v>2565680</v>
      </c>
      <c r="Y31" s="23" t="s">
        <v>10</v>
      </c>
      <c r="Z31" s="220">
        <f t="shared" si="14"/>
        <v>4.5540292833160716E-4</v>
      </c>
    </row>
    <row r="32" spans="1:26" s="6" customFormat="1" ht="18.75" x14ac:dyDescent="0.3">
      <c r="A32" s="192"/>
      <c r="B32" s="192"/>
      <c r="C32" s="192"/>
      <c r="D32" s="192"/>
      <c r="E32" s="192"/>
      <c r="F32" s="192"/>
      <c r="G32" s="192"/>
      <c r="H32" s="192"/>
      <c r="I32" s="192"/>
      <c r="J32" s="192"/>
      <c r="K32" s="192"/>
      <c r="L32" s="192"/>
      <c r="M32" s="192"/>
      <c r="N32" s="192"/>
      <c r="O32" s="192"/>
      <c r="P32" s="192"/>
      <c r="Q32" s="192"/>
      <c r="R32" s="192"/>
      <c r="S32" s="192"/>
      <c r="Z32" s="221">
        <f>SUM(Z23:Z31)</f>
        <v>0.99999999999999989</v>
      </c>
    </row>
    <row r="33" spans="1:26" s="6" customFormat="1" ht="18.75" x14ac:dyDescent="0.3">
      <c r="A33" s="27"/>
      <c r="B33" s="752" t="s">
        <v>821</v>
      </c>
      <c r="C33" s="167" t="s">
        <v>819</v>
      </c>
      <c r="D33" s="189">
        <v>17239001</v>
      </c>
      <c r="E33" s="189">
        <v>17239001</v>
      </c>
      <c r="F33" s="189">
        <v>16129000</v>
      </c>
      <c r="G33" s="189">
        <f>'A-P_T42'!$C$14</f>
        <v>14313820</v>
      </c>
      <c r="H33" s="189">
        <f>'A-P_T42'!$C$14</f>
        <v>14313820</v>
      </c>
      <c r="I33" s="189">
        <v>16813820</v>
      </c>
      <c r="J33" s="189">
        <v>16813820</v>
      </c>
      <c r="K33" s="189">
        <v>16813820</v>
      </c>
      <c r="L33" s="189">
        <v>16813820</v>
      </c>
      <c r="M33" s="189">
        <v>16813820</v>
      </c>
      <c r="N33" s="189">
        <v>16813820</v>
      </c>
      <c r="O33" s="189">
        <v>16813820</v>
      </c>
      <c r="P33" s="189">
        <v>16813820</v>
      </c>
      <c r="Q33" s="189">
        <v>16813820</v>
      </c>
      <c r="R33" s="189">
        <v>16813820</v>
      </c>
      <c r="S33" s="189">
        <f>'A-P_T42'!$C$14</f>
        <v>14313820</v>
      </c>
      <c r="Y33" s="746">
        <f>C23</f>
        <v>13219063</v>
      </c>
      <c r="Z33" s="747"/>
    </row>
    <row r="34" spans="1:26" x14ac:dyDescent="0.25">
      <c r="A34" s="27"/>
      <c r="B34" s="753"/>
      <c r="C34" s="167" t="s">
        <v>481</v>
      </c>
      <c r="D34" s="189">
        <v>10608420</v>
      </c>
      <c r="E34" s="189">
        <v>10608420</v>
      </c>
      <c r="F34" s="189">
        <v>12140460</v>
      </c>
      <c r="G34" s="189">
        <f>'A-P_T42'!$C$13</f>
        <v>12140460</v>
      </c>
      <c r="H34" s="189">
        <f>'A-P_T42'!$C$13</f>
        <v>12140460</v>
      </c>
      <c r="I34" s="189">
        <v>12140460</v>
      </c>
      <c r="J34" s="189">
        <v>12140460</v>
      </c>
      <c r="K34" s="189">
        <v>12140460</v>
      </c>
      <c r="L34" s="189">
        <v>12140460</v>
      </c>
      <c r="M34" s="189">
        <v>12140460</v>
      </c>
      <c r="N34" s="189">
        <v>12140460</v>
      </c>
      <c r="O34" s="189">
        <v>12140460</v>
      </c>
      <c r="P34" s="189">
        <v>12140460</v>
      </c>
      <c r="Q34" s="189">
        <v>12140460</v>
      </c>
      <c r="R34" s="189">
        <v>12140460</v>
      </c>
      <c r="S34" s="189">
        <f>'A-P_T42'!$C$13</f>
        <v>12140460</v>
      </c>
    </row>
    <row r="35" spans="1:26" x14ac:dyDescent="0.25">
      <c r="A35" s="27"/>
      <c r="B35" s="753"/>
      <c r="C35" s="167" t="s">
        <v>1385</v>
      </c>
      <c r="D35" s="189">
        <v>133240</v>
      </c>
      <c r="E35" s="189">
        <v>133240</v>
      </c>
      <c r="F35" s="189">
        <v>63240</v>
      </c>
      <c r="G35" s="189">
        <f>'A-P_T42'!$C$15+'A-P_T42'!$C$12</f>
        <v>462000</v>
      </c>
      <c r="H35" s="189">
        <f>'A-P_T42'!$C$15+'A-P_T42'!$C$12</f>
        <v>462000</v>
      </c>
      <c r="I35" s="189">
        <v>0</v>
      </c>
      <c r="J35" s="189">
        <v>0</v>
      </c>
      <c r="K35" s="189">
        <v>0</v>
      </c>
      <c r="L35" s="189">
        <v>0</v>
      </c>
      <c r="M35" s="189">
        <v>0</v>
      </c>
      <c r="N35" s="189">
        <v>0</v>
      </c>
      <c r="O35" s="189">
        <v>0</v>
      </c>
      <c r="P35" s="189">
        <v>0</v>
      </c>
      <c r="Q35" s="189">
        <v>69000</v>
      </c>
      <c r="R35" s="189">
        <v>254000</v>
      </c>
      <c r="S35" s="189">
        <f>'A-P_T42'!$C$15+'A-P_T42'!$C$12</f>
        <v>462000</v>
      </c>
    </row>
    <row r="36" spans="1:26" x14ac:dyDescent="0.25">
      <c r="A36" s="27"/>
      <c r="B36" s="754"/>
      <c r="C36" s="299" t="s">
        <v>291</v>
      </c>
      <c r="D36" s="300">
        <v>27980661</v>
      </c>
      <c r="E36" s="300">
        <v>27980661</v>
      </c>
      <c r="F36" s="300">
        <v>28332700</v>
      </c>
      <c r="G36" s="300">
        <f t="shared" ref="G36:S36" si="22">G35+G34+G33</f>
        <v>26916280</v>
      </c>
      <c r="H36" s="300">
        <f t="shared" si="22"/>
        <v>26916280</v>
      </c>
      <c r="I36" s="300">
        <v>28954280</v>
      </c>
      <c r="J36" s="300">
        <v>28954280</v>
      </c>
      <c r="K36" s="300">
        <v>28954280</v>
      </c>
      <c r="L36" s="300">
        <v>28954280</v>
      </c>
      <c r="M36" s="300">
        <v>28954280</v>
      </c>
      <c r="N36" s="300">
        <v>28954280</v>
      </c>
      <c r="O36" s="300">
        <v>28954280</v>
      </c>
      <c r="P36" s="300">
        <v>28954280</v>
      </c>
      <c r="Q36" s="300">
        <v>29023280</v>
      </c>
      <c r="R36" s="300">
        <v>29208280</v>
      </c>
      <c r="S36" s="300">
        <f t="shared" si="22"/>
        <v>26916280</v>
      </c>
    </row>
    <row r="37" spans="1:26" x14ac:dyDescent="0.25">
      <c r="C37" s="192"/>
      <c r="D37" s="247"/>
      <c r="E37" s="247"/>
      <c r="J37"/>
      <c r="K37"/>
      <c r="L37"/>
    </row>
    <row r="38" spans="1:26" x14ac:dyDescent="0.25">
      <c r="D38" s="247"/>
      <c r="H38" s="447"/>
      <c r="I38" s="447"/>
      <c r="J38" s="247"/>
      <c r="K38"/>
    </row>
    <row r="39" spans="1:26" ht="15" customHeight="1" x14ac:dyDescent="0.25">
      <c r="D39" s="225"/>
      <c r="E39" s="225"/>
      <c r="F39" s="225"/>
      <c r="G39" s="225"/>
      <c r="H39" s="225"/>
      <c r="I39" s="225"/>
      <c r="J39" s="225"/>
      <c r="K39" s="225"/>
      <c r="L39" s="225"/>
      <c r="M39" s="225"/>
      <c r="N39" s="225"/>
      <c r="O39" s="225"/>
      <c r="P39" s="225"/>
      <c r="Q39" s="225"/>
      <c r="R39" s="225"/>
      <c r="S39" s="225"/>
    </row>
    <row r="40" spans="1:26" ht="15" customHeight="1" x14ac:dyDescent="0.25">
      <c r="H40" s="731"/>
      <c r="I40" s="731"/>
      <c r="J40" s="731"/>
      <c r="K40" s="731"/>
    </row>
    <row r="41" spans="1:26" x14ac:dyDescent="0.25">
      <c r="H41" s="447"/>
      <c r="I41" s="447"/>
      <c r="J41" s="447"/>
      <c r="K41" s="447"/>
    </row>
    <row r="42" spans="1:26" x14ac:dyDescent="0.25">
      <c r="H42" s="447"/>
      <c r="I42" s="447"/>
      <c r="J42" s="447"/>
      <c r="K42" s="447"/>
    </row>
    <row r="43" spans="1:26" x14ac:dyDescent="0.25">
      <c r="H43" s="447"/>
      <c r="I43" s="447"/>
      <c r="J43" s="447"/>
      <c r="K43" s="447"/>
    </row>
    <row r="44" spans="1:26" x14ac:dyDescent="0.25">
      <c r="H44" s="447"/>
      <c r="I44" s="447"/>
      <c r="J44" s="447"/>
      <c r="K44" s="447"/>
    </row>
    <row r="45" spans="1:26" x14ac:dyDescent="0.25">
      <c r="H45" s="447"/>
      <c r="I45" s="447"/>
      <c r="J45" s="447"/>
      <c r="K45" s="447"/>
    </row>
    <row r="46" spans="1:26" x14ac:dyDescent="0.25">
      <c r="H46" s="447"/>
      <c r="I46" s="447"/>
      <c r="J46" s="447"/>
      <c r="K46" s="447"/>
    </row>
    <row r="47" spans="1:26" x14ac:dyDescent="0.25">
      <c r="H47" s="447"/>
      <c r="I47" s="447"/>
      <c r="J47" s="447"/>
      <c r="K47" s="447"/>
    </row>
    <row r="48" spans="1:26" x14ac:dyDescent="0.25">
      <c r="H48" s="447"/>
      <c r="I48" s="447"/>
      <c r="J48" s="447"/>
      <c r="K48" s="447"/>
    </row>
    <row r="49" spans="8:11" x14ac:dyDescent="0.25">
      <c r="H49" s="727"/>
      <c r="I49" s="727"/>
      <c r="J49" s="727"/>
      <c r="K49" s="727"/>
    </row>
    <row r="50" spans="8:11" x14ac:dyDescent="0.25">
      <c r="H50" s="447"/>
      <c r="I50" s="447"/>
      <c r="J50" s="447"/>
      <c r="K50" s="447"/>
    </row>
    <row r="51" spans="8:11" x14ac:dyDescent="0.25">
      <c r="H51" s="727"/>
      <c r="I51" s="727"/>
      <c r="J51" s="727"/>
      <c r="K51" s="727"/>
    </row>
    <row r="52" spans="8:11" ht="15" customHeight="1" x14ac:dyDescent="0.25">
      <c r="H52" s="727"/>
      <c r="I52" s="727"/>
      <c r="J52" s="727"/>
      <c r="K52" s="4"/>
    </row>
  </sheetData>
  <mergeCells count="15">
    <mergeCell ref="H49:K49"/>
    <mergeCell ref="H51:K51"/>
    <mergeCell ref="H52:J52"/>
    <mergeCell ref="A30:B30"/>
    <mergeCell ref="A31:B31"/>
    <mergeCell ref="B33:B36"/>
    <mergeCell ref="Y33:Z33"/>
    <mergeCell ref="H40:I40"/>
    <mergeCell ref="J40:K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pageSetUpPr fitToPage="1"/>
  </sheetPr>
  <dimension ref="A1:Z77"/>
  <sheetViews>
    <sheetView zoomScale="80" zoomScaleNormal="80" workbookViewId="0">
      <pane xSplit="1" ySplit="3" topLeftCell="B4" activePane="bottomRight" state="frozen"/>
      <selection pane="topRight" activeCell="B1" sqref="B1"/>
      <selection pane="bottomLeft" activeCell="A3" sqref="A3"/>
      <selection pane="bottomRight" activeCell="A46" sqref="A46"/>
    </sheetView>
  </sheetViews>
  <sheetFormatPr baseColWidth="10" defaultColWidth="11.42578125" defaultRowHeight="15" x14ac:dyDescent="0.25"/>
  <cols>
    <col min="1" max="1" width="7.7109375" bestFit="1" customWidth="1"/>
    <col min="2" max="2" width="7.140625" bestFit="1" customWidth="1"/>
    <col min="3" max="3" width="7.5703125" bestFit="1" customWidth="1"/>
    <col min="4" max="4" width="7.140625" bestFit="1" customWidth="1"/>
    <col min="5" max="6" width="7.42578125" customWidth="1"/>
    <col min="7" max="8" width="7.7109375" bestFit="1" customWidth="1"/>
    <col min="9" max="9" width="7.5703125" bestFit="1" customWidth="1"/>
    <col min="10" max="10" width="7.140625" bestFit="1" customWidth="1"/>
    <col min="11" max="11" width="41.28515625" bestFit="1" customWidth="1"/>
    <col min="12" max="12" width="7.7109375" style="605" bestFit="1" customWidth="1"/>
    <col min="13" max="13" width="7.140625" style="605" bestFit="1" customWidth="1"/>
    <col min="14" max="15" width="11.42578125" style="605"/>
    <col min="18" max="18" width="7.7109375" bestFit="1" customWidth="1"/>
    <col min="19" max="19" width="7.140625" bestFit="1" customWidth="1"/>
  </cols>
  <sheetData>
    <row r="1" spans="1:26" ht="18.75" x14ac:dyDescent="0.3">
      <c r="A1" s="722">
        <v>0.34</v>
      </c>
      <c r="B1" s="723"/>
      <c r="C1" s="722">
        <v>0.245</v>
      </c>
      <c r="D1" s="723"/>
      <c r="E1" s="722">
        <v>0.125</v>
      </c>
      <c r="F1" s="723"/>
      <c r="G1" s="722">
        <v>0.29099999999999998</v>
      </c>
      <c r="H1" s="723"/>
      <c r="I1" s="722">
        <v>0.19</v>
      </c>
      <c r="J1" s="723"/>
      <c r="L1" s="722">
        <v>0.34</v>
      </c>
      <c r="M1" s="723"/>
      <c r="N1" s="722">
        <v>0.245</v>
      </c>
      <c r="O1" s="723"/>
      <c r="P1" s="722">
        <v>0.125</v>
      </c>
      <c r="Q1" s="723"/>
      <c r="R1" s="722">
        <f>0.291*86/100</f>
        <v>0.25025999999999998</v>
      </c>
      <c r="S1" s="723"/>
      <c r="T1" s="722">
        <v>0.19</v>
      </c>
      <c r="U1" s="723"/>
    </row>
    <row r="2" spans="1:26" s="605" customFormat="1" ht="18.75" x14ac:dyDescent="0.3">
      <c r="A2" s="704" t="s">
        <v>560</v>
      </c>
      <c r="B2" s="704"/>
      <c r="C2" s="704" t="s">
        <v>561</v>
      </c>
      <c r="D2" s="704"/>
      <c r="E2" s="704" t="s">
        <v>330</v>
      </c>
      <c r="F2" s="704"/>
      <c r="G2" s="704" t="s">
        <v>563</v>
      </c>
      <c r="H2" s="704"/>
      <c r="I2" s="704" t="s">
        <v>562</v>
      </c>
      <c r="J2" s="704"/>
      <c r="K2"/>
      <c r="L2" s="704" t="s">
        <v>560</v>
      </c>
      <c r="M2" s="704"/>
      <c r="N2" s="704" t="s">
        <v>561</v>
      </c>
      <c r="O2" s="704"/>
      <c r="P2" s="704" t="s">
        <v>330</v>
      </c>
      <c r="Q2" s="704"/>
      <c r="R2" s="704" t="s">
        <v>563</v>
      </c>
      <c r="S2" s="704"/>
      <c r="T2" s="704" t="s">
        <v>562</v>
      </c>
      <c r="U2" s="704"/>
      <c r="V2"/>
      <c r="W2"/>
    </row>
    <row r="3" spans="1:26" s="605" customFormat="1" ht="19.5" thickBot="1" x14ac:dyDescent="0.35">
      <c r="A3" s="68" t="s">
        <v>490</v>
      </c>
      <c r="B3" s="68" t="s">
        <v>491</v>
      </c>
      <c r="C3" s="711"/>
      <c r="D3" s="712"/>
      <c r="E3" s="711"/>
      <c r="F3" s="712"/>
      <c r="G3" s="68" t="s">
        <v>490</v>
      </c>
      <c r="H3" s="68" t="s">
        <v>491</v>
      </c>
      <c r="I3" s="711"/>
      <c r="J3" s="712"/>
      <c r="K3"/>
      <c r="L3" s="68" t="s">
        <v>490</v>
      </c>
      <c r="M3" s="68" t="s">
        <v>491</v>
      </c>
      <c r="N3" s="711"/>
      <c r="O3" s="712"/>
      <c r="P3" s="711"/>
      <c r="Q3" s="712"/>
      <c r="R3" s="68" t="s">
        <v>490</v>
      </c>
      <c r="S3" s="68" t="s">
        <v>491</v>
      </c>
      <c r="T3" s="711"/>
      <c r="U3" s="712"/>
      <c r="V3"/>
      <c r="W3"/>
    </row>
    <row r="4" spans="1:26" s="605" customFormat="1" x14ac:dyDescent="0.25">
      <c r="A4" s="710">
        <v>0.64709000000000005</v>
      </c>
      <c r="B4" s="710"/>
      <c r="C4" s="710">
        <v>0.97192999999999996</v>
      </c>
      <c r="D4" s="710"/>
      <c r="E4" s="73"/>
      <c r="F4" s="73"/>
      <c r="G4" s="73"/>
      <c r="H4" s="73"/>
      <c r="I4" s="73"/>
      <c r="J4" s="80"/>
      <c r="K4" s="69" t="s">
        <v>492</v>
      </c>
      <c r="L4" s="710">
        <v>0.64709000000000005</v>
      </c>
      <c r="M4" s="710"/>
      <c r="N4" s="710">
        <v>0.97192999999999996</v>
      </c>
      <c r="O4" s="710"/>
      <c r="P4" s="73"/>
      <c r="Q4" s="73"/>
      <c r="R4" s="73"/>
      <c r="S4" s="73"/>
      <c r="T4" s="73"/>
      <c r="U4" s="80"/>
      <c r="V4"/>
      <c r="W4"/>
      <c r="Y4" s="494"/>
      <c r="Z4" s="494"/>
    </row>
    <row r="5" spans="1:26" s="605" customFormat="1" ht="15.75" thickBot="1" x14ac:dyDescent="0.3">
      <c r="A5" s="706">
        <v>0.26545000000000002</v>
      </c>
      <c r="B5" s="706"/>
      <c r="C5" s="706">
        <v>0.39895999999999998</v>
      </c>
      <c r="D5" s="706"/>
      <c r="E5" s="76"/>
      <c r="F5" s="76"/>
      <c r="G5" s="76"/>
      <c r="H5" s="76"/>
      <c r="I5" s="76"/>
      <c r="J5" s="81"/>
      <c r="K5" s="72" t="s">
        <v>493</v>
      </c>
      <c r="L5" s="706">
        <v>0.26545000000000002</v>
      </c>
      <c r="M5" s="706"/>
      <c r="N5" s="706">
        <v>0.39895999999999998</v>
      </c>
      <c r="O5" s="706"/>
      <c r="P5" s="76"/>
      <c r="Q5" s="76"/>
      <c r="R5" s="76"/>
      <c r="S5" s="76"/>
      <c r="T5" s="76"/>
      <c r="U5" s="81"/>
      <c r="V5"/>
      <c r="W5"/>
      <c r="Y5" s="494"/>
      <c r="Z5" s="494"/>
    </row>
    <row r="6" spans="1:26" s="605" customFormat="1" x14ac:dyDescent="0.25">
      <c r="A6" s="73">
        <v>0.50017999999999996</v>
      </c>
      <c r="B6" s="73">
        <v>0.25008999999999998</v>
      </c>
      <c r="C6" s="710">
        <v>1</v>
      </c>
      <c r="D6" s="710"/>
      <c r="E6" s="73"/>
      <c r="F6" s="73"/>
      <c r="G6" s="73"/>
      <c r="H6" s="73"/>
      <c r="I6" s="73"/>
      <c r="J6" s="80"/>
      <c r="K6" s="69" t="s">
        <v>494</v>
      </c>
      <c r="L6" s="73">
        <v>0.50017999999999996</v>
      </c>
      <c r="M6" s="73">
        <v>0.25008999999999998</v>
      </c>
      <c r="N6" s="710">
        <v>1</v>
      </c>
      <c r="O6" s="710"/>
      <c r="P6" s="73"/>
      <c r="Q6" s="73"/>
      <c r="R6" s="73"/>
      <c r="S6" s="73"/>
      <c r="T6" s="73"/>
      <c r="U6" s="80"/>
      <c r="V6"/>
      <c r="W6"/>
      <c r="Y6" s="494"/>
      <c r="Z6" s="494"/>
    </row>
    <row r="7" spans="1:26" s="605" customFormat="1" ht="15.75" thickBot="1" x14ac:dyDescent="0.3">
      <c r="A7" s="76"/>
      <c r="B7" s="76"/>
      <c r="C7" s="76"/>
      <c r="D7" s="76"/>
      <c r="E7" s="706">
        <v>0.27488000000000001</v>
      </c>
      <c r="F7" s="706"/>
      <c r="G7" s="76"/>
      <c r="H7" s="76"/>
      <c r="I7" s="76"/>
      <c r="J7" s="81"/>
      <c r="K7" s="72" t="s">
        <v>518</v>
      </c>
      <c r="L7" s="76"/>
      <c r="M7" s="76"/>
      <c r="N7" s="76"/>
      <c r="O7" s="76"/>
      <c r="P7" s="706">
        <v>0.27488000000000001</v>
      </c>
      <c r="Q7" s="706"/>
      <c r="R7" s="76"/>
      <c r="S7" s="76"/>
      <c r="T7" s="76"/>
      <c r="U7" s="81"/>
      <c r="V7"/>
      <c r="W7"/>
      <c r="Y7" s="494"/>
      <c r="Z7" s="494"/>
    </row>
    <row r="8" spans="1:26" s="605" customFormat="1" x14ac:dyDescent="0.25">
      <c r="A8" s="73">
        <v>0.35504999999999998</v>
      </c>
      <c r="B8" s="73">
        <v>0.17752000000000001</v>
      </c>
      <c r="C8" s="710">
        <v>0.72296000000000005</v>
      </c>
      <c r="D8" s="710"/>
      <c r="E8" s="73"/>
      <c r="F8" s="73"/>
      <c r="G8" s="73"/>
      <c r="H8" s="73"/>
      <c r="I8" s="73"/>
      <c r="J8" s="80"/>
      <c r="K8" s="69" t="s">
        <v>495</v>
      </c>
      <c r="L8" s="73">
        <v>0.35504999999999998</v>
      </c>
      <c r="M8" s="73">
        <v>0.17752000000000001</v>
      </c>
      <c r="N8" s="710">
        <v>0.72296000000000005</v>
      </c>
      <c r="O8" s="710"/>
      <c r="P8" s="73"/>
      <c r="Q8" s="73"/>
      <c r="R8" s="73"/>
      <c r="S8" s="73"/>
      <c r="T8" s="73"/>
      <c r="U8" s="80"/>
      <c r="V8"/>
      <c r="W8"/>
      <c r="Y8" s="494"/>
      <c r="Z8" s="494"/>
    </row>
    <row r="9" spans="1:26" s="605" customFormat="1" ht="15.75" thickBot="1" x14ac:dyDescent="0.3">
      <c r="A9" s="76"/>
      <c r="B9" s="76"/>
      <c r="C9" s="76"/>
      <c r="D9" s="76"/>
      <c r="E9" s="706">
        <v>0.36337000000000003</v>
      </c>
      <c r="F9" s="706"/>
      <c r="G9" s="76"/>
      <c r="H9" s="76"/>
      <c r="I9" s="76"/>
      <c r="J9" s="81"/>
      <c r="K9" s="72" t="s">
        <v>525</v>
      </c>
      <c r="L9" s="76"/>
      <c r="M9" s="76"/>
      <c r="N9" s="76"/>
      <c r="O9" s="76"/>
      <c r="P9" s="706">
        <f>36.337%*1.21</f>
        <v>0.4396777</v>
      </c>
      <c r="Q9" s="706"/>
      <c r="R9" s="76"/>
      <c r="S9" s="76"/>
      <c r="T9" s="76"/>
      <c r="U9" s="81"/>
      <c r="V9"/>
      <c r="W9"/>
      <c r="Y9" s="494"/>
      <c r="Z9" s="494"/>
    </row>
    <row r="10" spans="1:26" s="605" customFormat="1" x14ac:dyDescent="0.25">
      <c r="A10" s="73">
        <v>0.65615999999999997</v>
      </c>
      <c r="B10" s="73"/>
      <c r="C10" s="710">
        <v>0.78437000000000001</v>
      </c>
      <c r="D10" s="710"/>
      <c r="E10" s="73"/>
      <c r="F10" s="73"/>
      <c r="G10" s="73"/>
      <c r="H10" s="73"/>
      <c r="I10" s="73"/>
      <c r="J10" s="80"/>
      <c r="K10" s="69" t="s">
        <v>496</v>
      </c>
      <c r="L10" s="73">
        <f>65.616%*1.06</f>
        <v>0.69552959999999997</v>
      </c>
      <c r="M10" s="73"/>
      <c r="N10" s="710">
        <f>78.437%*(1-0.09)</f>
        <v>0.71377670000000004</v>
      </c>
      <c r="O10" s="710"/>
      <c r="P10" s="73"/>
      <c r="Q10" s="73"/>
      <c r="R10" s="73"/>
      <c r="S10" s="73"/>
      <c r="T10" s="73"/>
      <c r="U10" s="80"/>
      <c r="V10"/>
      <c r="W10"/>
      <c r="Y10" s="494"/>
      <c r="Z10" s="494"/>
    </row>
    <row r="11" spans="1:26" s="605" customFormat="1" x14ac:dyDescent="0.25">
      <c r="A11" s="54"/>
      <c r="B11" s="54"/>
      <c r="C11" s="54"/>
      <c r="D11" s="54"/>
      <c r="E11" s="705">
        <v>0.1464</v>
      </c>
      <c r="F11" s="705"/>
      <c r="G11" s="54"/>
      <c r="H11" s="54"/>
      <c r="I11" s="54"/>
      <c r="J11" s="82"/>
      <c r="K11" s="70" t="s">
        <v>522</v>
      </c>
      <c r="L11" s="54"/>
      <c r="M11" s="54"/>
      <c r="N11" s="54"/>
      <c r="O11" s="54"/>
      <c r="P11" s="705">
        <v>0.1464</v>
      </c>
      <c r="Q11" s="705"/>
      <c r="R11" s="54"/>
      <c r="S11" s="54"/>
      <c r="T11" s="54"/>
      <c r="U11" s="82"/>
      <c r="V11"/>
      <c r="W11"/>
      <c r="Y11" s="494"/>
      <c r="Z11" s="494"/>
    </row>
    <row r="12" spans="1:26" s="605" customFormat="1" ht="14.45" customHeight="1" thickBot="1" x14ac:dyDescent="0.3">
      <c r="A12" s="76"/>
      <c r="B12" s="76"/>
      <c r="C12" s="76"/>
      <c r="D12" s="76"/>
      <c r="E12" s="599"/>
      <c r="F12" s="599"/>
      <c r="G12" s="76">
        <v>0.28649999999999998</v>
      </c>
      <c r="H12" s="76"/>
      <c r="I12" s="76"/>
      <c r="J12" s="81"/>
      <c r="K12" s="72" t="s">
        <v>527</v>
      </c>
      <c r="L12" s="76"/>
      <c r="M12" s="76"/>
      <c r="N12" s="76"/>
      <c r="O12" s="76"/>
      <c r="P12" s="599"/>
      <c r="Q12" s="599"/>
      <c r="R12" s="76">
        <v>0.33313953488372089</v>
      </c>
      <c r="S12" s="76"/>
      <c r="T12" s="76"/>
      <c r="U12" s="81"/>
      <c r="V12"/>
      <c r="W12"/>
      <c r="Y12" s="494"/>
      <c r="Z12" s="494"/>
    </row>
    <row r="13" spans="1:26" s="605" customFormat="1" x14ac:dyDescent="0.25">
      <c r="A13" s="710">
        <v>0.42514999999999997</v>
      </c>
      <c r="B13" s="710"/>
      <c r="C13" s="710">
        <v>0.85</v>
      </c>
      <c r="D13" s="710"/>
      <c r="E13" s="73"/>
      <c r="F13" s="73"/>
      <c r="G13" s="73"/>
      <c r="H13" s="73"/>
      <c r="I13" s="73"/>
      <c r="J13" s="80"/>
      <c r="K13" s="69" t="s">
        <v>497</v>
      </c>
      <c r="L13" s="710">
        <v>0.42514999999999997</v>
      </c>
      <c r="M13" s="710"/>
      <c r="N13" s="710">
        <v>0.85</v>
      </c>
      <c r="O13" s="710"/>
      <c r="P13" s="73"/>
      <c r="Q13" s="73"/>
      <c r="R13" s="73"/>
      <c r="S13" s="73"/>
      <c r="T13" s="73"/>
      <c r="U13" s="80"/>
      <c r="V13"/>
      <c r="W13"/>
      <c r="Y13" s="494"/>
      <c r="Z13" s="494"/>
    </row>
    <row r="14" spans="1:26" s="605" customFormat="1" ht="15.75" thickBot="1" x14ac:dyDescent="0.3">
      <c r="A14" s="76"/>
      <c r="B14" s="76"/>
      <c r="C14" s="76"/>
      <c r="D14" s="76"/>
      <c r="E14" s="706">
        <v>0.23365</v>
      </c>
      <c r="F14" s="706"/>
      <c r="G14" s="76"/>
      <c r="H14" s="76"/>
      <c r="I14" s="76"/>
      <c r="J14" s="81"/>
      <c r="K14" s="72" t="s">
        <v>519</v>
      </c>
      <c r="L14" s="76"/>
      <c r="M14" s="76"/>
      <c r="N14" s="76"/>
      <c r="O14" s="76"/>
      <c r="P14" s="706">
        <v>0.23365</v>
      </c>
      <c r="Q14" s="706"/>
      <c r="R14" s="76"/>
      <c r="S14" s="76"/>
      <c r="T14" s="76"/>
      <c r="U14" s="81"/>
      <c r="V14"/>
      <c r="W14"/>
      <c r="Y14" s="494"/>
      <c r="Z14" s="494"/>
    </row>
    <row r="15" spans="1:26" s="605" customFormat="1" x14ac:dyDescent="0.25">
      <c r="A15" s="73">
        <v>1</v>
      </c>
      <c r="B15" s="75"/>
      <c r="C15" s="710">
        <v>0.51382000000000005</v>
      </c>
      <c r="D15" s="710"/>
      <c r="E15" s="73"/>
      <c r="F15" s="73"/>
      <c r="G15" s="73"/>
      <c r="H15" s="73"/>
      <c r="I15" s="73"/>
      <c r="J15" s="80"/>
      <c r="K15" s="69" t="s">
        <v>502</v>
      </c>
      <c r="L15" s="73">
        <v>1</v>
      </c>
      <c r="M15" s="75"/>
      <c r="N15" s="710">
        <v>0.51382000000000005</v>
      </c>
      <c r="O15" s="710"/>
      <c r="P15" s="73"/>
      <c r="Q15" s="73"/>
      <c r="R15" s="73"/>
      <c r="S15" s="73"/>
      <c r="T15" s="73"/>
      <c r="U15" s="80"/>
      <c r="V15"/>
      <c r="W15"/>
      <c r="Y15" s="494"/>
      <c r="Z15" s="494"/>
    </row>
    <row r="16" spans="1:26" s="605" customFormat="1" x14ac:dyDescent="0.25">
      <c r="A16" s="54"/>
      <c r="B16" s="54"/>
      <c r="C16" s="54"/>
      <c r="D16" s="54"/>
      <c r="E16" s="705">
        <v>4.3869999999999999E-2</v>
      </c>
      <c r="F16" s="705"/>
      <c r="G16" s="54"/>
      <c r="H16" s="54"/>
      <c r="I16" s="54"/>
      <c r="J16" s="82"/>
      <c r="K16" s="70" t="s">
        <v>523</v>
      </c>
      <c r="L16" s="54"/>
      <c r="M16" s="54"/>
      <c r="N16" s="54"/>
      <c r="O16" s="54"/>
      <c r="P16" s="705">
        <v>4.3869999999999999E-2</v>
      </c>
      <c r="Q16" s="705"/>
      <c r="R16" s="54"/>
      <c r="S16" s="54"/>
      <c r="T16" s="54"/>
      <c r="U16" s="82"/>
      <c r="V16"/>
      <c r="W16"/>
      <c r="Y16" s="494"/>
      <c r="Z16" s="494"/>
    </row>
    <row r="17" spans="1:26" s="605" customFormat="1" ht="15.75" thickBot="1" x14ac:dyDescent="0.3">
      <c r="A17" s="76"/>
      <c r="B17" s="76"/>
      <c r="C17" s="76"/>
      <c r="D17" s="76"/>
      <c r="E17" s="599"/>
      <c r="F17" s="599"/>
      <c r="G17" s="76">
        <v>0.32728000000000002</v>
      </c>
      <c r="H17" s="76"/>
      <c r="I17" s="76"/>
      <c r="J17" s="81"/>
      <c r="K17" s="72" t="s">
        <v>528</v>
      </c>
      <c r="L17" s="76"/>
      <c r="M17" s="76"/>
      <c r="N17" s="76"/>
      <c r="O17" s="76"/>
      <c r="P17" s="599"/>
      <c r="Q17" s="599"/>
      <c r="R17" s="76">
        <v>0.38055813953488377</v>
      </c>
      <c r="S17" s="76"/>
      <c r="T17" s="76"/>
      <c r="U17" s="81"/>
      <c r="V17"/>
      <c r="W17"/>
      <c r="Y17" s="494"/>
      <c r="Z17" s="494"/>
    </row>
    <row r="18" spans="1:26" x14ac:dyDescent="0.25">
      <c r="A18" s="73">
        <v>0.91232999999999997</v>
      </c>
      <c r="B18" s="75"/>
      <c r="C18" s="710">
        <v>0.46146999999999999</v>
      </c>
      <c r="D18" s="710"/>
      <c r="E18" s="73"/>
      <c r="F18" s="73"/>
      <c r="G18" s="73"/>
      <c r="H18" s="73"/>
      <c r="I18" s="73"/>
      <c r="J18" s="80"/>
      <c r="K18" s="69" t="s">
        <v>503</v>
      </c>
      <c r="L18" s="73">
        <v>0.91232999999999997</v>
      </c>
      <c r="M18" s="75"/>
      <c r="N18" s="710">
        <f>46.147%*(1-0.08)</f>
        <v>0.4245524</v>
      </c>
      <c r="O18" s="710"/>
      <c r="P18" s="73"/>
      <c r="Q18" s="73"/>
      <c r="R18" s="73"/>
      <c r="S18" s="73"/>
      <c r="T18" s="73"/>
      <c r="U18" s="80"/>
      <c r="Y18" s="494"/>
      <c r="Z18" s="494"/>
    </row>
    <row r="19" spans="1:26" x14ac:dyDescent="0.25">
      <c r="A19" s="54"/>
      <c r="B19" s="54"/>
      <c r="C19" s="54"/>
      <c r="D19" s="54"/>
      <c r="E19" s="705">
        <v>0.15035999999999999</v>
      </c>
      <c r="F19" s="705"/>
      <c r="G19" s="54"/>
      <c r="H19" s="54"/>
      <c r="I19" s="54"/>
      <c r="J19" s="82"/>
      <c r="K19" s="70" t="s">
        <v>521</v>
      </c>
      <c r="L19" s="54"/>
      <c r="M19" s="54"/>
      <c r="N19" s="54"/>
      <c r="O19" s="54"/>
      <c r="P19" s="705">
        <v>0.15035999999999999</v>
      </c>
      <c r="Q19" s="705"/>
      <c r="R19" s="54"/>
      <c r="S19" s="54"/>
      <c r="T19" s="54"/>
      <c r="U19" s="82"/>
      <c r="Y19" s="494"/>
      <c r="Z19" s="494"/>
    </row>
    <row r="20" spans="1:26" ht="15.75" thickBot="1" x14ac:dyDescent="0.3">
      <c r="A20" s="76"/>
      <c r="B20" s="76"/>
      <c r="C20" s="76"/>
      <c r="D20" s="76"/>
      <c r="E20" s="599"/>
      <c r="F20" s="599"/>
      <c r="G20" s="76">
        <v>0.51546000000000003</v>
      </c>
      <c r="H20" s="76"/>
      <c r="I20" s="76"/>
      <c r="J20" s="81"/>
      <c r="K20" s="72" t="s">
        <v>530</v>
      </c>
      <c r="L20" s="76"/>
      <c r="M20" s="76"/>
      <c r="N20" s="76"/>
      <c r="O20" s="76"/>
      <c r="P20" s="599"/>
      <c r="Q20" s="599"/>
      <c r="R20" s="76">
        <v>0.59937209302325589</v>
      </c>
      <c r="S20" s="76"/>
      <c r="T20" s="76"/>
      <c r="U20" s="81"/>
      <c r="Y20" s="494"/>
      <c r="Z20" s="494"/>
    </row>
    <row r="21" spans="1:26" x14ac:dyDescent="0.25">
      <c r="A21" s="73">
        <v>0.69059999999999999</v>
      </c>
      <c r="B21" s="75"/>
      <c r="C21" s="710">
        <v>0.38878000000000001</v>
      </c>
      <c r="D21" s="710"/>
      <c r="E21" s="73"/>
      <c r="F21" s="73"/>
      <c r="G21" s="73"/>
      <c r="H21" s="73"/>
      <c r="I21" s="73"/>
      <c r="J21" s="80"/>
      <c r="K21" s="69" t="s">
        <v>504</v>
      </c>
      <c r="L21" s="73">
        <v>0.69059999999999999</v>
      </c>
      <c r="M21" s="75"/>
      <c r="N21" s="710">
        <v>0.38878000000000001</v>
      </c>
      <c r="O21" s="710"/>
      <c r="P21" s="73"/>
      <c r="Q21" s="73"/>
      <c r="R21" s="73"/>
      <c r="S21" s="73"/>
      <c r="T21" s="73"/>
      <c r="U21" s="80"/>
      <c r="Y21" s="494"/>
      <c r="Z21" s="494"/>
    </row>
    <row r="22" spans="1:26" x14ac:dyDescent="0.25">
      <c r="A22" s="54"/>
      <c r="B22" s="54"/>
      <c r="C22" s="54"/>
      <c r="D22" s="54"/>
      <c r="E22" s="705">
        <v>0.2099</v>
      </c>
      <c r="F22" s="705"/>
      <c r="G22" s="54"/>
      <c r="H22" s="54"/>
      <c r="I22" s="54"/>
      <c r="J22" s="82"/>
      <c r="K22" s="70" t="s">
        <v>526</v>
      </c>
      <c r="L22" s="54"/>
      <c r="M22" s="54"/>
      <c r="N22" s="54"/>
      <c r="O22" s="54"/>
      <c r="P22" s="705">
        <v>0.2099</v>
      </c>
      <c r="Q22" s="705"/>
      <c r="R22" s="54"/>
      <c r="S22" s="54"/>
      <c r="T22" s="54"/>
      <c r="U22" s="82"/>
      <c r="Y22" s="494"/>
      <c r="Z22" s="494"/>
    </row>
    <row r="23" spans="1:26" ht="15.75" thickBot="1" x14ac:dyDescent="0.3">
      <c r="A23" s="76"/>
      <c r="B23" s="76"/>
      <c r="C23" s="76"/>
      <c r="D23" s="76"/>
      <c r="E23" s="599"/>
      <c r="F23" s="599"/>
      <c r="G23" s="76">
        <v>0.62805999999999995</v>
      </c>
      <c r="H23" s="76"/>
      <c r="I23" s="76"/>
      <c r="J23" s="81"/>
      <c r="K23" s="72" t="s">
        <v>529</v>
      </c>
      <c r="L23" s="76"/>
      <c r="M23" s="76"/>
      <c r="N23" s="76"/>
      <c r="O23" s="76"/>
      <c r="P23" s="599"/>
      <c r="Q23" s="599"/>
      <c r="R23" s="76">
        <v>0.7303023255813953</v>
      </c>
      <c r="S23" s="76"/>
      <c r="T23" s="76"/>
      <c r="U23" s="81"/>
      <c r="Y23" s="494"/>
      <c r="Z23" s="494"/>
    </row>
    <row r="24" spans="1:26" x14ac:dyDescent="0.25">
      <c r="A24" s="73">
        <v>0.68315000000000003</v>
      </c>
      <c r="B24" s="75"/>
      <c r="C24" s="710">
        <v>0.70006000000000002</v>
      </c>
      <c r="D24" s="710"/>
      <c r="E24" s="73"/>
      <c r="F24" s="73"/>
      <c r="G24" s="73"/>
      <c r="H24" s="73"/>
      <c r="I24" s="73"/>
      <c r="J24" s="80"/>
      <c r="K24" s="69" t="s">
        <v>505</v>
      </c>
      <c r="L24" s="73">
        <v>0.68315000000000003</v>
      </c>
      <c r="M24" s="75"/>
      <c r="N24" s="710">
        <v>0.70006000000000002</v>
      </c>
      <c r="O24" s="710"/>
      <c r="P24" s="73"/>
      <c r="Q24" s="73"/>
      <c r="R24" s="73"/>
      <c r="S24" s="73"/>
      <c r="T24" s="73"/>
      <c r="U24" s="80"/>
      <c r="Y24" s="494"/>
      <c r="Z24" s="494"/>
    </row>
    <row r="25" spans="1:26" x14ac:dyDescent="0.25">
      <c r="A25" s="54"/>
      <c r="B25" s="54"/>
      <c r="C25" s="54"/>
      <c r="D25" s="54"/>
      <c r="E25" s="705">
        <v>0.152</v>
      </c>
      <c r="F25" s="705"/>
      <c r="G25" s="54"/>
      <c r="H25" s="54"/>
      <c r="I25" s="54"/>
      <c r="J25" s="82"/>
      <c r="K25" s="70" t="s">
        <v>520</v>
      </c>
      <c r="L25" s="54"/>
      <c r="M25" s="54"/>
      <c r="N25" s="54"/>
      <c r="O25" s="54"/>
      <c r="P25" s="705">
        <v>0.152</v>
      </c>
      <c r="Q25" s="705"/>
      <c r="R25" s="54"/>
      <c r="S25" s="54"/>
      <c r="T25" s="54"/>
      <c r="U25" s="82"/>
      <c r="Y25" s="494"/>
      <c r="Z25" s="494"/>
    </row>
    <row r="26" spans="1:26" ht="15.75" thickBot="1" x14ac:dyDescent="0.3">
      <c r="A26" s="76"/>
      <c r="B26" s="76"/>
      <c r="C26" s="76"/>
      <c r="D26" s="76"/>
      <c r="E26" s="599"/>
      <c r="F26" s="599"/>
      <c r="G26" s="76">
        <v>0.32396000000000003</v>
      </c>
      <c r="H26" s="76"/>
      <c r="I26" s="76"/>
      <c r="J26" s="81"/>
      <c r="K26" s="72" t="s">
        <v>531</v>
      </c>
      <c r="L26" s="76"/>
      <c r="M26" s="76"/>
      <c r="N26" s="76"/>
      <c r="O26" s="76"/>
      <c r="P26" s="599"/>
      <c r="Q26" s="599"/>
      <c r="R26" s="76">
        <v>0.37669767441860463</v>
      </c>
      <c r="S26" s="76"/>
      <c r="T26" s="76"/>
      <c r="U26" s="81"/>
      <c r="Y26" s="494"/>
      <c r="Z26" s="494"/>
    </row>
    <row r="27" spans="1:26" x14ac:dyDescent="0.25">
      <c r="A27" s="73">
        <v>0.18545</v>
      </c>
      <c r="B27" s="73">
        <v>9.2719999999999997E-2</v>
      </c>
      <c r="C27" s="710">
        <v>0.42459999999999998</v>
      </c>
      <c r="D27" s="710"/>
      <c r="E27" s="73"/>
      <c r="F27" s="73"/>
      <c r="G27" s="73"/>
      <c r="H27" s="73"/>
      <c r="I27" s="708"/>
      <c r="J27" s="715"/>
      <c r="K27" s="69" t="s">
        <v>498</v>
      </c>
      <c r="L27" s="73">
        <v>0.18545</v>
      </c>
      <c r="M27" s="73">
        <v>9.2719999999999997E-2</v>
      </c>
      <c r="N27" s="710">
        <v>0.42459999999999998</v>
      </c>
      <c r="O27" s="710"/>
      <c r="P27" s="73"/>
      <c r="Q27" s="73"/>
      <c r="R27" s="73"/>
      <c r="S27" s="73"/>
      <c r="T27" s="708"/>
      <c r="U27" s="715"/>
      <c r="Y27" s="494"/>
      <c r="Z27" s="494"/>
    </row>
    <row r="28" spans="1:26" x14ac:dyDescent="0.25">
      <c r="A28" s="54"/>
      <c r="B28" s="54"/>
      <c r="C28" s="54"/>
      <c r="D28" s="54"/>
      <c r="E28" s="705">
        <v>1</v>
      </c>
      <c r="F28" s="705"/>
      <c r="G28" s="54"/>
      <c r="H28" s="54"/>
      <c r="I28" s="716"/>
      <c r="J28" s="717"/>
      <c r="K28" s="70" t="s">
        <v>510</v>
      </c>
      <c r="L28" s="54"/>
      <c r="M28" s="54"/>
      <c r="N28" s="54"/>
      <c r="O28" s="54"/>
      <c r="P28" s="705">
        <v>1</v>
      </c>
      <c r="Q28" s="705"/>
      <c r="R28" s="54"/>
      <c r="S28" s="54"/>
      <c r="T28" s="716"/>
      <c r="U28" s="717"/>
      <c r="Y28" s="494"/>
      <c r="Z28" s="494"/>
    </row>
    <row r="29" spans="1:26" x14ac:dyDescent="0.25">
      <c r="A29" s="76"/>
      <c r="B29" s="76"/>
      <c r="C29" s="76"/>
      <c r="D29" s="76"/>
      <c r="E29" s="599"/>
      <c r="F29" s="599"/>
      <c r="G29" s="76"/>
      <c r="H29" s="76"/>
      <c r="I29" s="603"/>
      <c r="J29" s="604"/>
      <c r="K29" s="70" t="s">
        <v>2295</v>
      </c>
      <c r="L29" s="76"/>
      <c r="M29" s="76"/>
      <c r="N29" s="76"/>
      <c r="O29" s="76"/>
      <c r="P29" s="599"/>
      <c r="Q29" s="599"/>
      <c r="R29" s="76"/>
      <c r="S29" s="76"/>
      <c r="T29" s="718">
        <v>0.21</v>
      </c>
      <c r="U29" s="719"/>
      <c r="Y29" s="494"/>
      <c r="Z29" s="494"/>
    </row>
    <row r="30" spans="1:26" ht="15.75" thickBot="1" x14ac:dyDescent="0.3">
      <c r="A30" s="76"/>
      <c r="B30" s="76"/>
      <c r="C30" s="76"/>
      <c r="D30" s="76"/>
      <c r="E30" s="599"/>
      <c r="F30" s="599"/>
      <c r="G30" s="76">
        <v>0.24451999999999999</v>
      </c>
      <c r="H30" s="76">
        <v>0.1226</v>
      </c>
      <c r="I30" s="718">
        <v>0.34044000000000002</v>
      </c>
      <c r="J30" s="719"/>
      <c r="K30" s="72" t="s">
        <v>542</v>
      </c>
      <c r="L30" s="76"/>
      <c r="M30" s="76"/>
      <c r="N30" s="76"/>
      <c r="O30" s="76"/>
      <c r="P30" s="599"/>
      <c r="Q30" s="599"/>
      <c r="R30" s="76">
        <v>0.2843255813953488</v>
      </c>
      <c r="S30" s="76">
        <v>0.14255813953488372</v>
      </c>
      <c r="T30" s="718">
        <f>34.044%*1.05</f>
        <v>0.357462</v>
      </c>
      <c r="U30" s="719"/>
      <c r="Y30" s="494"/>
      <c r="Z30" s="494"/>
    </row>
    <row r="31" spans="1:26" x14ac:dyDescent="0.25">
      <c r="A31" s="73">
        <v>0.27438000000000001</v>
      </c>
      <c r="B31" s="73">
        <v>0.13719000000000001</v>
      </c>
      <c r="C31" s="710">
        <v>0.62792999999999999</v>
      </c>
      <c r="D31" s="710"/>
      <c r="E31" s="73"/>
      <c r="F31" s="73"/>
      <c r="G31" s="73"/>
      <c r="H31" s="73"/>
      <c r="I31" s="708"/>
      <c r="J31" s="715"/>
      <c r="K31" s="69" t="s">
        <v>499</v>
      </c>
      <c r="L31" s="73">
        <v>0.27438000000000001</v>
      </c>
      <c r="M31" s="73">
        <v>0.13719000000000001</v>
      </c>
      <c r="N31" s="710">
        <v>0.62792999999999999</v>
      </c>
      <c r="O31" s="710"/>
      <c r="P31" s="73"/>
      <c r="Q31" s="73"/>
      <c r="R31" s="73"/>
      <c r="S31" s="73"/>
      <c r="T31" s="708"/>
      <c r="U31" s="715"/>
      <c r="Y31" s="494"/>
      <c r="Z31" s="494"/>
    </row>
    <row r="32" spans="1:26" x14ac:dyDescent="0.25">
      <c r="A32" s="607"/>
      <c r="B32" s="607"/>
      <c r="C32" s="608"/>
      <c r="D32" s="608"/>
      <c r="E32" s="607"/>
      <c r="F32" s="607"/>
      <c r="G32" s="607"/>
      <c r="H32" s="607"/>
      <c r="I32" s="609"/>
      <c r="J32" s="610"/>
      <c r="K32" s="606" t="s">
        <v>2296</v>
      </c>
      <c r="L32" s="607"/>
      <c r="M32" s="607"/>
      <c r="N32" s="608"/>
      <c r="O32" s="608"/>
      <c r="P32" s="607"/>
      <c r="Q32" s="607"/>
      <c r="R32" s="607"/>
      <c r="S32" s="607"/>
      <c r="T32" s="718">
        <v>0.12</v>
      </c>
      <c r="U32" s="719"/>
      <c r="Y32" s="494"/>
      <c r="Z32" s="494"/>
    </row>
    <row r="33" spans="1:26" ht="15.75" thickBot="1" x14ac:dyDescent="0.3">
      <c r="A33" s="76"/>
      <c r="B33" s="76"/>
      <c r="C33" s="599"/>
      <c r="D33" s="599"/>
      <c r="E33" s="76"/>
      <c r="F33" s="76"/>
      <c r="G33" s="76">
        <v>0.14949999999999999</v>
      </c>
      <c r="H33" s="76">
        <v>7.3999999999999996E-2</v>
      </c>
      <c r="I33" s="718">
        <v>0.23748</v>
      </c>
      <c r="J33" s="719"/>
      <c r="K33" s="72" t="s">
        <v>551</v>
      </c>
      <c r="L33" s="76"/>
      <c r="M33" s="76"/>
      <c r="N33" s="599"/>
      <c r="O33" s="599"/>
      <c r="P33" s="76"/>
      <c r="Q33" s="76"/>
      <c r="R33" s="76">
        <v>0.13906976744186045</v>
      </c>
      <c r="S33" s="76">
        <v>6.8837209302325592E-2</v>
      </c>
      <c r="T33" s="718">
        <f>23.748%*0.8</f>
        <v>0.18998400000000004</v>
      </c>
      <c r="U33" s="719"/>
      <c r="Y33" s="494"/>
      <c r="Z33" s="494"/>
    </row>
    <row r="34" spans="1:26" x14ac:dyDescent="0.25">
      <c r="A34" s="73">
        <v>0.11212</v>
      </c>
      <c r="B34" s="73">
        <v>5.6059999999999999E-2</v>
      </c>
      <c r="C34" s="710">
        <v>0.23462</v>
      </c>
      <c r="D34" s="710"/>
      <c r="E34" s="73"/>
      <c r="F34" s="73"/>
      <c r="G34" s="73"/>
      <c r="H34" s="73"/>
      <c r="I34" s="708"/>
      <c r="J34" s="715"/>
      <c r="K34" s="69" t="s">
        <v>500</v>
      </c>
      <c r="L34" s="73">
        <f>11.212%*0.75</f>
        <v>8.4089999999999998E-2</v>
      </c>
      <c r="M34" s="73">
        <f>5.606%*0.75</f>
        <v>4.2044999999999999E-2</v>
      </c>
      <c r="N34" s="710">
        <f>23.462%*0.75</f>
        <v>0.17596499999999998</v>
      </c>
      <c r="O34" s="710"/>
      <c r="P34" s="73"/>
      <c r="Q34" s="73"/>
      <c r="R34" s="73"/>
      <c r="S34" s="73"/>
      <c r="T34" s="708"/>
      <c r="U34" s="715"/>
      <c r="Y34" s="494"/>
      <c r="Z34" s="494"/>
    </row>
    <row r="35" spans="1:26" x14ac:dyDescent="0.25">
      <c r="A35" s="607"/>
      <c r="B35" s="607"/>
      <c r="C35" s="608"/>
      <c r="D35" s="608"/>
      <c r="E35" s="607"/>
      <c r="F35" s="607"/>
      <c r="G35" s="607"/>
      <c r="H35" s="607"/>
      <c r="I35" s="609"/>
      <c r="J35" s="610"/>
      <c r="K35" s="606" t="s">
        <v>2297</v>
      </c>
      <c r="L35" s="607"/>
      <c r="M35" s="607"/>
      <c r="N35" s="608"/>
      <c r="O35" s="608"/>
      <c r="P35" s="607"/>
      <c r="Q35" s="607"/>
      <c r="R35" s="607"/>
      <c r="S35" s="607"/>
      <c r="T35" s="718">
        <v>0.31</v>
      </c>
      <c r="U35" s="719"/>
      <c r="Y35" s="494"/>
      <c r="Z35" s="494"/>
    </row>
    <row r="36" spans="1:26" ht="15.75" thickBot="1" x14ac:dyDescent="0.3">
      <c r="A36" s="76"/>
      <c r="B36" s="76"/>
      <c r="C36" s="599"/>
      <c r="D36" s="599"/>
      <c r="E36" s="76"/>
      <c r="F36" s="76"/>
      <c r="G36" s="76">
        <v>0.23788000000000001</v>
      </c>
      <c r="H36" s="76">
        <v>0.11894</v>
      </c>
      <c r="I36" s="718">
        <v>0.50244</v>
      </c>
      <c r="J36" s="719"/>
      <c r="K36" s="72" t="s">
        <v>543</v>
      </c>
      <c r="L36" s="76"/>
      <c r="M36" s="76"/>
      <c r="N36" s="599"/>
      <c r="O36" s="599"/>
      <c r="P36" s="76"/>
      <c r="Q36" s="76"/>
      <c r="R36" s="76">
        <v>0.2766046511627907</v>
      </c>
      <c r="S36" s="76">
        <v>0.13830232558139535</v>
      </c>
      <c r="T36" s="718">
        <f>50.244%*1.05</f>
        <v>0.52756199999999998</v>
      </c>
      <c r="U36" s="719"/>
      <c r="Y36" s="494"/>
      <c r="Z36" s="494"/>
    </row>
    <row r="37" spans="1:26" ht="15.75" thickBot="1" x14ac:dyDescent="0.3">
      <c r="A37" s="83"/>
      <c r="B37" s="83"/>
      <c r="C37" s="83"/>
      <c r="D37" s="83"/>
      <c r="E37" s="707">
        <v>0.94696999999999998</v>
      </c>
      <c r="F37" s="707"/>
      <c r="G37" s="83"/>
      <c r="H37" s="83"/>
      <c r="I37" s="720"/>
      <c r="J37" s="721"/>
      <c r="K37" s="77" t="s">
        <v>511</v>
      </c>
      <c r="L37" s="83"/>
      <c r="M37" s="83"/>
      <c r="N37" s="83"/>
      <c r="O37" s="83"/>
      <c r="P37" s="707">
        <v>0.94696999999999998</v>
      </c>
      <c r="Q37" s="707"/>
      <c r="R37" s="83"/>
      <c r="S37" s="83"/>
      <c r="T37" s="720"/>
      <c r="U37" s="721"/>
      <c r="Y37" s="494"/>
      <c r="Z37" s="494"/>
    </row>
    <row r="38" spans="1:26" x14ac:dyDescent="0.25">
      <c r="A38" s="710">
        <v>0.15762999999999999</v>
      </c>
      <c r="B38" s="710"/>
      <c r="C38" s="710">
        <v>0.36070000000000002</v>
      </c>
      <c r="D38" s="710"/>
      <c r="E38" s="73"/>
      <c r="F38" s="73"/>
      <c r="G38" s="73"/>
      <c r="H38" s="73"/>
      <c r="I38" s="708"/>
      <c r="J38" s="715"/>
      <c r="K38" s="69" t="s">
        <v>501</v>
      </c>
      <c r="L38" s="710">
        <v>0.15762999999999999</v>
      </c>
      <c r="M38" s="710"/>
      <c r="N38" s="710">
        <v>0.36070000000000002</v>
      </c>
      <c r="O38" s="710"/>
      <c r="P38" s="73"/>
      <c r="Q38" s="73"/>
      <c r="R38" s="73"/>
      <c r="S38" s="73"/>
      <c r="T38" s="708"/>
      <c r="U38" s="715"/>
      <c r="Y38" s="494"/>
      <c r="Z38" s="494"/>
    </row>
    <row r="39" spans="1:26" x14ac:dyDescent="0.25">
      <c r="A39" s="54"/>
      <c r="B39" s="54"/>
      <c r="C39" s="54"/>
      <c r="D39" s="54"/>
      <c r="E39" s="705">
        <v>0.85</v>
      </c>
      <c r="F39" s="705"/>
      <c r="G39" s="54"/>
      <c r="H39" s="54"/>
      <c r="I39" s="716"/>
      <c r="J39" s="717"/>
      <c r="K39" s="70" t="s">
        <v>513</v>
      </c>
      <c r="L39" s="54"/>
      <c r="M39" s="54"/>
      <c r="N39" s="54"/>
      <c r="O39" s="54"/>
      <c r="P39" s="705">
        <v>0.85</v>
      </c>
      <c r="Q39" s="705"/>
      <c r="R39" s="54"/>
      <c r="S39" s="54"/>
      <c r="T39" s="716"/>
      <c r="U39" s="717"/>
      <c r="Y39" s="494"/>
      <c r="Z39" s="494"/>
    </row>
    <row r="40" spans="1:26" ht="15.75" thickBot="1" x14ac:dyDescent="0.3">
      <c r="A40" s="76"/>
      <c r="B40" s="76"/>
      <c r="C40" s="76"/>
      <c r="D40" s="76"/>
      <c r="E40" s="599"/>
      <c r="F40" s="599"/>
      <c r="G40" s="76">
        <v>0.20784</v>
      </c>
      <c r="H40" s="76"/>
      <c r="I40" s="718">
        <v>0.28937000000000002</v>
      </c>
      <c r="J40" s="719"/>
      <c r="K40" s="72" t="s">
        <v>546</v>
      </c>
      <c r="L40" s="76"/>
      <c r="M40" s="76"/>
      <c r="N40" s="76"/>
      <c r="O40" s="76"/>
      <c r="P40" s="599"/>
      <c r="Q40" s="599"/>
      <c r="R40" s="76">
        <v>0.24167441860465114</v>
      </c>
      <c r="S40" s="76"/>
      <c r="T40" s="718">
        <v>0.28937000000000002</v>
      </c>
      <c r="U40" s="719"/>
      <c r="Y40" s="494"/>
      <c r="Z40" s="494"/>
    </row>
    <row r="41" spans="1:26" x14ac:dyDescent="0.25">
      <c r="A41" s="710">
        <v>0.20368</v>
      </c>
      <c r="B41" s="710"/>
      <c r="C41" s="710">
        <v>0.33767000000000003</v>
      </c>
      <c r="D41" s="710"/>
      <c r="E41" s="73"/>
      <c r="F41" s="73"/>
      <c r="G41" s="73"/>
      <c r="H41" s="73"/>
      <c r="I41" s="708"/>
      <c r="J41" s="715"/>
      <c r="K41" s="69" t="s">
        <v>524</v>
      </c>
      <c r="L41" s="710">
        <v>0.20368</v>
      </c>
      <c r="M41" s="710"/>
      <c r="N41" s="710">
        <v>0.33767000000000003</v>
      </c>
      <c r="O41" s="710"/>
      <c r="P41" s="73"/>
      <c r="Q41" s="73"/>
      <c r="R41" s="73"/>
      <c r="S41" s="73"/>
      <c r="T41" s="708"/>
      <c r="U41" s="715"/>
      <c r="Y41" s="494"/>
      <c r="Z41" s="494"/>
    </row>
    <row r="42" spans="1:26" x14ac:dyDescent="0.25">
      <c r="A42" s="54"/>
      <c r="B42" s="54"/>
      <c r="C42" s="54"/>
      <c r="D42" s="54"/>
      <c r="E42" s="705">
        <v>0.89815999999999996</v>
      </c>
      <c r="F42" s="705"/>
      <c r="G42" s="54"/>
      <c r="H42" s="54"/>
      <c r="I42" s="716"/>
      <c r="J42" s="717"/>
      <c r="K42" s="70" t="s">
        <v>512</v>
      </c>
      <c r="L42" s="54"/>
      <c r="M42" s="54"/>
      <c r="N42" s="54"/>
      <c r="O42" s="54"/>
      <c r="P42" s="705">
        <v>0.89815999999999996</v>
      </c>
      <c r="Q42" s="705"/>
      <c r="R42" s="54"/>
      <c r="S42" s="54"/>
      <c r="T42" s="716"/>
      <c r="U42" s="717"/>
      <c r="Y42" s="494"/>
      <c r="Z42" s="494"/>
    </row>
    <row r="43" spans="1:26" x14ac:dyDescent="0.25">
      <c r="A43" s="54"/>
      <c r="B43" s="54"/>
      <c r="C43" s="54"/>
      <c r="D43" s="54"/>
      <c r="E43" s="598"/>
      <c r="F43" s="598"/>
      <c r="G43" s="54">
        <v>0.57364000000000004</v>
      </c>
      <c r="H43" s="54"/>
      <c r="I43" s="716"/>
      <c r="J43" s="717"/>
      <c r="K43" s="70" t="s">
        <v>532</v>
      </c>
      <c r="L43" s="54"/>
      <c r="M43" s="54"/>
      <c r="N43" s="54"/>
      <c r="O43" s="54"/>
      <c r="P43" s="598"/>
      <c r="Q43" s="598"/>
      <c r="R43" s="54">
        <v>0.6670232558139535</v>
      </c>
      <c r="S43" s="54"/>
      <c r="T43" s="716"/>
      <c r="U43" s="717"/>
      <c r="Y43" s="494"/>
      <c r="Z43" s="494"/>
    </row>
    <row r="44" spans="1:26" ht="15.75" thickBot="1" x14ac:dyDescent="0.3">
      <c r="A44" s="76"/>
      <c r="B44" s="76"/>
      <c r="C44" s="76"/>
      <c r="D44" s="76"/>
      <c r="E44" s="599"/>
      <c r="F44" s="599"/>
      <c r="G44" s="76">
        <v>0.26422000000000001</v>
      </c>
      <c r="H44" s="76"/>
      <c r="I44" s="718">
        <v>0.2399</v>
      </c>
      <c r="J44" s="719"/>
      <c r="K44" s="72" t="s">
        <v>548</v>
      </c>
      <c r="L44" s="76"/>
      <c r="M44" s="76"/>
      <c r="N44" s="76"/>
      <c r="O44" s="76"/>
      <c r="P44" s="599"/>
      <c r="Q44" s="599"/>
      <c r="R44" s="76">
        <v>0.30723255813953487</v>
      </c>
      <c r="S44" s="76"/>
      <c r="T44" s="718">
        <f>23.99%*1.06</f>
        <v>0.25429399999999996</v>
      </c>
      <c r="U44" s="719"/>
      <c r="Y44" s="494"/>
      <c r="Z44" s="494"/>
    </row>
    <row r="45" spans="1:26" x14ac:dyDescent="0.25">
      <c r="A45" s="73">
        <v>0.34708</v>
      </c>
      <c r="B45" s="75"/>
      <c r="C45" s="710">
        <v>0.20830000000000001</v>
      </c>
      <c r="D45" s="710"/>
      <c r="E45" s="73"/>
      <c r="F45" s="73"/>
      <c r="G45" s="73"/>
      <c r="H45" s="73"/>
      <c r="I45" s="708"/>
      <c r="J45" s="715"/>
      <c r="K45" s="69" t="s">
        <v>507</v>
      </c>
      <c r="L45" s="73">
        <v>0.34708</v>
      </c>
      <c r="M45" s="75"/>
      <c r="N45" s="710">
        <v>0.20830000000000001</v>
      </c>
      <c r="O45" s="710"/>
      <c r="P45" s="73"/>
      <c r="Q45" s="73"/>
      <c r="R45" s="73"/>
      <c r="S45" s="73"/>
      <c r="T45" s="708"/>
      <c r="U45" s="715"/>
      <c r="Y45" s="494"/>
      <c r="Z45" s="494"/>
    </row>
    <row r="46" spans="1:26" x14ac:dyDescent="0.25">
      <c r="A46" s="54"/>
      <c r="B46" s="54"/>
      <c r="C46" s="54"/>
      <c r="D46" s="54"/>
      <c r="E46" s="705">
        <v>0.52559999999999996</v>
      </c>
      <c r="F46" s="705"/>
      <c r="G46" s="54"/>
      <c r="H46" s="54"/>
      <c r="I46" s="716"/>
      <c r="J46" s="717"/>
      <c r="K46" s="70" t="s">
        <v>515</v>
      </c>
      <c r="L46" s="54"/>
      <c r="M46" s="54"/>
      <c r="N46" s="54"/>
      <c r="O46" s="54"/>
      <c r="P46" s="705">
        <v>0.52559999999999996</v>
      </c>
      <c r="Q46" s="705"/>
      <c r="R46" s="54"/>
      <c r="S46" s="54"/>
      <c r="T46" s="716"/>
      <c r="U46" s="717"/>
      <c r="Y46" s="494"/>
      <c r="Z46" s="494"/>
    </row>
    <row r="47" spans="1:26" x14ac:dyDescent="0.25">
      <c r="A47" s="54"/>
      <c r="B47" s="54"/>
      <c r="C47" s="54"/>
      <c r="D47" s="54"/>
      <c r="E47" s="598"/>
      <c r="F47" s="598"/>
      <c r="G47" s="54">
        <v>0.84328000000000003</v>
      </c>
      <c r="H47" s="54"/>
      <c r="I47" s="716"/>
      <c r="J47" s="717"/>
      <c r="K47" s="70" t="s">
        <v>533</v>
      </c>
      <c r="L47" s="54"/>
      <c r="M47" s="54"/>
      <c r="N47" s="54"/>
      <c r="O47" s="54"/>
      <c r="P47" s="598"/>
      <c r="Q47" s="598"/>
      <c r="R47" s="54">
        <v>0.85308558139534874</v>
      </c>
      <c r="S47" s="54"/>
      <c r="T47" s="716"/>
      <c r="U47" s="717"/>
      <c r="Y47" s="494"/>
      <c r="Z47" s="494"/>
    </row>
    <row r="48" spans="1:26" ht="15.75" thickBot="1" x14ac:dyDescent="0.3">
      <c r="A48" s="76"/>
      <c r="B48" s="76"/>
      <c r="C48" s="76"/>
      <c r="D48" s="76"/>
      <c r="E48" s="599"/>
      <c r="F48" s="599"/>
      <c r="G48" s="76">
        <v>0.23543</v>
      </c>
      <c r="H48" s="76"/>
      <c r="I48" s="718">
        <v>0.13220000000000001</v>
      </c>
      <c r="J48" s="719"/>
      <c r="K48" s="72" t="s">
        <v>545</v>
      </c>
      <c r="L48" s="76"/>
      <c r="M48" s="76"/>
      <c r="N48" s="76"/>
      <c r="O48" s="76"/>
      <c r="P48" s="599"/>
      <c r="Q48" s="599"/>
      <c r="R48" s="76">
        <v>0.27375581395348836</v>
      </c>
      <c r="S48" s="76"/>
      <c r="T48" s="718">
        <f>13.22%*1.16</f>
        <v>0.15335200000000002</v>
      </c>
      <c r="U48" s="719"/>
      <c r="Y48" s="494"/>
      <c r="Z48" s="494"/>
    </row>
    <row r="49" spans="1:26" s="605" customFormat="1" ht="15.75" thickBot="1" x14ac:dyDescent="0.3">
      <c r="A49" s="83"/>
      <c r="B49" s="83"/>
      <c r="C49" s="83"/>
      <c r="D49" s="83"/>
      <c r="E49" s="707">
        <v>0.43773000000000001</v>
      </c>
      <c r="F49" s="707"/>
      <c r="G49" s="83"/>
      <c r="H49" s="83"/>
      <c r="I49" s="720"/>
      <c r="J49" s="721"/>
      <c r="K49" s="77" t="s">
        <v>2293</v>
      </c>
      <c r="L49" s="83"/>
      <c r="M49" s="83"/>
      <c r="N49" s="83"/>
      <c r="O49" s="83"/>
      <c r="P49" s="707">
        <v>0.43773000000000001</v>
      </c>
      <c r="Q49" s="707"/>
      <c r="R49" s="83"/>
      <c r="S49" s="83"/>
      <c r="T49" s="720"/>
      <c r="U49" s="721"/>
      <c r="Y49" s="494"/>
      <c r="Z49" s="494"/>
    </row>
    <row r="50" spans="1:26" x14ac:dyDescent="0.25">
      <c r="A50" s="73">
        <v>0.47361999999999999</v>
      </c>
      <c r="B50" s="75"/>
      <c r="C50" s="710">
        <v>0.28101999999999999</v>
      </c>
      <c r="D50" s="710"/>
      <c r="E50" s="73"/>
      <c r="F50" s="73"/>
      <c r="G50" s="73"/>
      <c r="H50" s="73"/>
      <c r="I50" s="708"/>
      <c r="J50" s="715"/>
      <c r="K50" s="69" t="s">
        <v>506</v>
      </c>
      <c r="L50" s="73">
        <v>0.47361999999999999</v>
      </c>
      <c r="M50" s="75"/>
      <c r="N50" s="710">
        <v>0.28101999999999999</v>
      </c>
      <c r="O50" s="710"/>
      <c r="P50" s="73"/>
      <c r="Q50" s="73"/>
      <c r="R50" s="73"/>
      <c r="S50" s="73"/>
      <c r="T50" s="708"/>
      <c r="U50" s="715"/>
      <c r="Y50" s="494"/>
      <c r="Z50" s="494"/>
    </row>
    <row r="51" spans="1:26" x14ac:dyDescent="0.25">
      <c r="A51" s="54"/>
      <c r="B51" s="65"/>
      <c r="C51" s="598"/>
      <c r="D51" s="598"/>
      <c r="E51" s="54"/>
      <c r="F51" s="54"/>
      <c r="G51" s="54">
        <v>0.71950000000000003</v>
      </c>
      <c r="H51" s="54"/>
      <c r="I51" s="716"/>
      <c r="J51" s="717"/>
      <c r="K51" s="70" t="s">
        <v>534</v>
      </c>
      <c r="L51" s="54"/>
      <c r="M51" s="65"/>
      <c r="N51" s="598"/>
      <c r="O51" s="598"/>
      <c r="P51" s="54"/>
      <c r="Q51" s="54"/>
      <c r="R51" s="54">
        <v>0.66930232558139535</v>
      </c>
      <c r="S51" s="54"/>
      <c r="T51" s="716"/>
      <c r="U51" s="717"/>
      <c r="Y51" s="494"/>
      <c r="Z51" s="494"/>
    </row>
    <row r="52" spans="1:26" ht="15.75" thickBot="1" x14ac:dyDescent="0.3">
      <c r="A52" s="76"/>
      <c r="B52" s="78"/>
      <c r="C52" s="599"/>
      <c r="D52" s="599"/>
      <c r="E52" s="76"/>
      <c r="F52" s="76"/>
      <c r="G52" s="76">
        <v>0.20451</v>
      </c>
      <c r="H52" s="76"/>
      <c r="I52" s="718">
        <v>9.1600000000000001E-2</v>
      </c>
      <c r="J52" s="719"/>
      <c r="K52" s="72" t="s">
        <v>547</v>
      </c>
      <c r="L52" s="76"/>
      <c r="M52" s="78"/>
      <c r="N52" s="599"/>
      <c r="O52" s="599"/>
      <c r="P52" s="76"/>
      <c r="Q52" s="76"/>
      <c r="R52" s="76">
        <v>0.23780232558139536</v>
      </c>
      <c r="S52" s="76"/>
      <c r="T52" s="718">
        <v>9.1600000000000001E-2</v>
      </c>
      <c r="U52" s="719"/>
      <c r="Y52" s="494"/>
      <c r="Z52" s="494"/>
    </row>
    <row r="53" spans="1:26" x14ac:dyDescent="0.25">
      <c r="A53" s="73">
        <v>0.17321</v>
      </c>
      <c r="B53" s="75"/>
      <c r="C53" s="710">
        <v>9.2929999999999999E-2</v>
      </c>
      <c r="D53" s="710"/>
      <c r="E53" s="73"/>
      <c r="F53" s="73"/>
      <c r="G53" s="73"/>
      <c r="H53" s="73"/>
      <c r="I53" s="708"/>
      <c r="J53" s="715"/>
      <c r="K53" s="69" t="s">
        <v>508</v>
      </c>
      <c r="L53" s="73">
        <v>0.17321</v>
      </c>
      <c r="M53" s="75"/>
      <c r="N53" s="710">
        <f>9.293%*0.8</f>
        <v>7.4344000000000007E-2</v>
      </c>
      <c r="O53" s="710"/>
      <c r="P53" s="73"/>
      <c r="Q53" s="73"/>
      <c r="R53" s="73"/>
      <c r="S53" s="73"/>
      <c r="T53" s="708"/>
      <c r="U53" s="715"/>
      <c r="Y53" s="494"/>
      <c r="Z53" s="494"/>
    </row>
    <row r="54" spans="1:26" s="605" customFormat="1" x14ac:dyDescent="0.25">
      <c r="A54" s="54"/>
      <c r="B54" s="65"/>
      <c r="C54" s="598"/>
      <c r="D54" s="598"/>
      <c r="E54" s="54"/>
      <c r="F54" s="54"/>
      <c r="G54" s="54">
        <v>1</v>
      </c>
      <c r="H54" s="54"/>
      <c r="I54" s="716"/>
      <c r="J54" s="717"/>
      <c r="K54" s="70" t="s">
        <v>535</v>
      </c>
      <c r="L54" s="54"/>
      <c r="M54" s="65"/>
      <c r="N54" s="598"/>
      <c r="O54" s="598"/>
      <c r="P54" s="54"/>
      <c r="Q54" s="54"/>
      <c r="R54" s="54">
        <v>1</v>
      </c>
      <c r="S54" s="54"/>
      <c r="T54" s="716"/>
      <c r="U54" s="717"/>
      <c r="V54"/>
      <c r="W54"/>
      <c r="Y54" s="494"/>
      <c r="Z54" s="494"/>
    </row>
    <row r="55" spans="1:26" s="605" customFormat="1" ht="15.75" thickBot="1" x14ac:dyDescent="0.3">
      <c r="A55" s="76"/>
      <c r="B55" s="78"/>
      <c r="C55" s="599"/>
      <c r="D55" s="599"/>
      <c r="E55" s="76"/>
      <c r="F55" s="76"/>
      <c r="G55" s="76">
        <v>0.26967000000000002</v>
      </c>
      <c r="H55" s="76"/>
      <c r="I55" s="718">
        <v>0.1535</v>
      </c>
      <c r="J55" s="719"/>
      <c r="K55" s="72" t="s">
        <v>541</v>
      </c>
      <c r="L55" s="76"/>
      <c r="M55" s="78"/>
      <c r="N55" s="599"/>
      <c r="O55" s="599"/>
      <c r="P55" s="76"/>
      <c r="Q55" s="76"/>
      <c r="R55" s="76">
        <v>0.31356976744186049</v>
      </c>
      <c r="S55" s="76"/>
      <c r="T55" s="718">
        <v>0.1535</v>
      </c>
      <c r="U55" s="719"/>
      <c r="Y55" s="494"/>
      <c r="Z55" s="494"/>
    </row>
    <row r="56" spans="1:26" s="605" customFormat="1" ht="15.75" thickBot="1" x14ac:dyDescent="0.3">
      <c r="A56" s="83"/>
      <c r="B56" s="83"/>
      <c r="C56" s="83"/>
      <c r="D56" s="83"/>
      <c r="E56" s="707">
        <v>0.43773000000000001</v>
      </c>
      <c r="F56" s="707"/>
      <c r="G56" s="83"/>
      <c r="H56" s="83"/>
      <c r="I56" s="720"/>
      <c r="J56" s="721"/>
      <c r="K56" s="77" t="s">
        <v>2294</v>
      </c>
      <c r="L56" s="83"/>
      <c r="M56" s="83"/>
      <c r="N56" s="83"/>
      <c r="O56" s="83"/>
      <c r="P56" s="707">
        <f>43.773%*0.8</f>
        <v>0.35018400000000005</v>
      </c>
      <c r="Q56" s="707"/>
      <c r="R56" s="83"/>
      <c r="S56" s="83"/>
      <c r="T56" s="720"/>
      <c r="U56" s="721"/>
      <c r="Y56" s="494"/>
      <c r="Z56" s="494"/>
    </row>
    <row r="57" spans="1:26" s="605" customFormat="1" x14ac:dyDescent="0.25">
      <c r="A57" s="73">
        <v>0.28996</v>
      </c>
      <c r="B57" s="75"/>
      <c r="C57" s="710">
        <v>0.25344</v>
      </c>
      <c r="D57" s="710"/>
      <c r="E57" s="73"/>
      <c r="F57" s="73"/>
      <c r="G57" s="73"/>
      <c r="H57" s="73"/>
      <c r="I57" s="708"/>
      <c r="J57" s="715"/>
      <c r="K57" s="69" t="s">
        <v>509</v>
      </c>
      <c r="L57" s="73">
        <v>0.28996</v>
      </c>
      <c r="M57" s="75"/>
      <c r="N57" s="710">
        <v>0.25344</v>
      </c>
      <c r="O57" s="710"/>
      <c r="P57" s="73"/>
      <c r="Q57" s="73"/>
      <c r="R57" s="73"/>
      <c r="S57" s="73"/>
      <c r="T57" s="708"/>
      <c r="U57" s="715"/>
      <c r="Y57" s="494"/>
      <c r="Z57" s="494"/>
    </row>
    <row r="58" spans="1:26" s="605" customFormat="1" x14ac:dyDescent="0.25">
      <c r="A58" s="54"/>
      <c r="B58" s="54"/>
      <c r="C58" s="54"/>
      <c r="D58" s="54"/>
      <c r="E58" s="705">
        <v>0.65949000000000002</v>
      </c>
      <c r="F58" s="705"/>
      <c r="G58" s="54"/>
      <c r="H58" s="54"/>
      <c r="I58" s="716"/>
      <c r="J58" s="717"/>
      <c r="K58" s="70" t="s">
        <v>514</v>
      </c>
      <c r="L58" s="54"/>
      <c r="M58" s="54"/>
      <c r="N58" s="54"/>
      <c r="O58" s="54"/>
      <c r="P58" s="705">
        <f>65.949%*1.1</f>
        <v>0.72543900000000006</v>
      </c>
      <c r="Q58" s="705"/>
      <c r="R58" s="54"/>
      <c r="S58" s="54"/>
      <c r="T58" s="716"/>
      <c r="U58" s="717"/>
      <c r="Y58" s="494"/>
      <c r="Z58" s="494"/>
    </row>
    <row r="59" spans="1:26" s="605" customFormat="1" x14ac:dyDescent="0.25">
      <c r="A59" s="54"/>
      <c r="B59" s="54"/>
      <c r="C59" s="54"/>
      <c r="D59" s="54"/>
      <c r="E59" s="598"/>
      <c r="F59" s="598"/>
      <c r="G59" s="54">
        <v>0.56411</v>
      </c>
      <c r="H59" s="54"/>
      <c r="I59" s="716"/>
      <c r="J59" s="717"/>
      <c r="K59" s="70" t="s">
        <v>536</v>
      </c>
      <c r="L59" s="54"/>
      <c r="M59" s="54"/>
      <c r="N59" s="54"/>
      <c r="O59" s="54"/>
      <c r="P59" s="598"/>
      <c r="Q59" s="598"/>
      <c r="R59" s="54">
        <v>0.70185779069767451</v>
      </c>
      <c r="S59" s="54"/>
      <c r="T59" s="716"/>
      <c r="U59" s="717"/>
      <c r="Y59" s="494"/>
      <c r="Z59" s="494"/>
    </row>
    <row r="60" spans="1:26" s="605" customFormat="1" ht="15.75" thickBot="1" x14ac:dyDescent="0.3">
      <c r="A60" s="76"/>
      <c r="B60" s="76"/>
      <c r="C60" s="76"/>
      <c r="D60" s="76"/>
      <c r="E60" s="599"/>
      <c r="F60" s="599"/>
      <c r="G60" s="76">
        <v>0.14326</v>
      </c>
      <c r="H60" s="76"/>
      <c r="I60" s="718">
        <v>0.17191999999999999</v>
      </c>
      <c r="J60" s="719"/>
      <c r="K60" s="72" t="s">
        <v>555</v>
      </c>
      <c r="L60" s="76"/>
      <c r="M60" s="76"/>
      <c r="N60" s="76"/>
      <c r="O60" s="76"/>
      <c r="P60" s="599"/>
      <c r="Q60" s="599"/>
      <c r="R60" s="76">
        <v>0.2082267441860465</v>
      </c>
      <c r="S60" s="76"/>
      <c r="T60" s="718">
        <f>17.192%</f>
        <v>0.17191999999999999</v>
      </c>
      <c r="U60" s="719"/>
      <c r="Y60" s="494"/>
      <c r="Z60" s="494"/>
    </row>
    <row r="61" spans="1:26" s="605" customFormat="1" x14ac:dyDescent="0.25">
      <c r="A61" s="73"/>
      <c r="B61" s="73"/>
      <c r="C61" s="73"/>
      <c r="D61" s="73"/>
      <c r="E61" s="600"/>
      <c r="F61" s="600"/>
      <c r="G61" s="73">
        <v>0.19162000000000001</v>
      </c>
      <c r="H61" s="73"/>
      <c r="I61" s="708"/>
      <c r="J61" s="715"/>
      <c r="K61" s="69" t="s">
        <v>550</v>
      </c>
      <c r="L61" s="73"/>
      <c r="M61" s="73"/>
      <c r="N61" s="73"/>
      <c r="O61" s="73"/>
      <c r="P61" s="600"/>
      <c r="Q61" s="600"/>
      <c r="R61" s="73">
        <v>0.22281395348837213</v>
      </c>
      <c r="S61" s="73"/>
      <c r="T61" s="708"/>
      <c r="U61" s="715"/>
      <c r="Y61" s="494"/>
      <c r="Z61" s="494"/>
    </row>
    <row r="62" spans="1:26" s="605" customFormat="1" ht="15.75" thickBot="1" x14ac:dyDescent="0.3">
      <c r="A62" s="54"/>
      <c r="B62" s="54"/>
      <c r="C62" s="54"/>
      <c r="D62" s="54"/>
      <c r="E62" s="598"/>
      <c r="F62" s="598"/>
      <c r="G62" s="54">
        <v>0.49523</v>
      </c>
      <c r="H62" s="54"/>
      <c r="I62" s="716"/>
      <c r="J62" s="717"/>
      <c r="K62" s="70" t="s">
        <v>538</v>
      </c>
      <c r="L62" s="54"/>
      <c r="M62" s="54"/>
      <c r="N62" s="54"/>
      <c r="O62" s="54"/>
      <c r="P62" s="598"/>
      <c r="Q62" s="598"/>
      <c r="R62" s="54">
        <v>0.57584883720930236</v>
      </c>
      <c r="S62" s="54"/>
      <c r="T62" s="716"/>
      <c r="U62" s="717"/>
      <c r="Y62" s="494"/>
      <c r="Z62" s="494"/>
    </row>
    <row r="63" spans="1:26" s="605" customFormat="1" x14ac:dyDescent="0.25">
      <c r="A63" s="54"/>
      <c r="B63" s="54"/>
      <c r="C63" s="54"/>
      <c r="D63" s="54"/>
      <c r="E63" s="598"/>
      <c r="F63" s="598"/>
      <c r="G63" s="54"/>
      <c r="H63" s="54"/>
      <c r="I63" s="601"/>
      <c r="J63" s="602"/>
      <c r="K63" s="70" t="s">
        <v>2299</v>
      </c>
      <c r="L63" s="54"/>
      <c r="M63" s="54"/>
      <c r="N63" s="54"/>
      <c r="O63" s="54"/>
      <c r="P63" s="708">
        <v>0.15</v>
      </c>
      <c r="Q63" s="709"/>
      <c r="R63" s="54"/>
      <c r="S63" s="54"/>
      <c r="T63" s="601"/>
      <c r="U63" s="602"/>
      <c r="Y63" s="494"/>
      <c r="Z63" s="494"/>
    </row>
    <row r="64" spans="1:26" s="605" customFormat="1" x14ac:dyDescent="0.25">
      <c r="A64" s="54"/>
      <c r="B64" s="54"/>
      <c r="C64" s="54"/>
      <c r="D64" s="54"/>
      <c r="E64" s="598"/>
      <c r="F64" s="598"/>
      <c r="G64" s="54">
        <v>0.47439999999999999</v>
      </c>
      <c r="H64" s="54"/>
      <c r="I64" s="716">
        <v>0.60697000000000001</v>
      </c>
      <c r="J64" s="717"/>
      <c r="K64" s="70" t="s">
        <v>537</v>
      </c>
      <c r="L64" s="54"/>
      <c r="M64" s="54"/>
      <c r="N64" s="54"/>
      <c r="O64" s="54"/>
      <c r="P64" s="598"/>
      <c r="Q64" s="598"/>
      <c r="R64" s="54">
        <v>0.55162790697674413</v>
      </c>
      <c r="S64" s="54"/>
      <c r="T64" s="716">
        <v>0.60697000000000001</v>
      </c>
      <c r="U64" s="717"/>
      <c r="Y64" s="494"/>
      <c r="Z64" s="494"/>
    </row>
    <row r="65" spans="1:26" s="605" customFormat="1" ht="15.75" thickBot="1" x14ac:dyDescent="0.3">
      <c r="A65" s="76"/>
      <c r="B65" s="76"/>
      <c r="C65" s="76"/>
      <c r="D65" s="76"/>
      <c r="E65" s="599"/>
      <c r="F65" s="599"/>
      <c r="G65" s="76">
        <v>0.16774</v>
      </c>
      <c r="H65" s="76"/>
      <c r="I65" s="718">
        <v>0.24779999999999999</v>
      </c>
      <c r="J65" s="719"/>
      <c r="K65" s="72" t="s">
        <v>558</v>
      </c>
      <c r="L65" s="76"/>
      <c r="M65" s="76"/>
      <c r="N65" s="76"/>
      <c r="O65" s="76"/>
      <c r="P65" s="599"/>
      <c r="Q65" s="599"/>
      <c r="R65" s="76">
        <v>0.19504651162790698</v>
      </c>
      <c r="S65" s="76"/>
      <c r="T65" s="718">
        <v>0.24779999999999999</v>
      </c>
      <c r="U65" s="719"/>
      <c r="Y65" s="494"/>
      <c r="Z65" s="494"/>
    </row>
    <row r="66" spans="1:26" s="605" customFormat="1" x14ac:dyDescent="0.25">
      <c r="A66" s="73"/>
      <c r="B66" s="73"/>
      <c r="C66" s="73"/>
      <c r="D66" s="73"/>
      <c r="E66" s="708">
        <v>0.45617999999999997</v>
      </c>
      <c r="F66" s="709"/>
      <c r="G66" s="73"/>
      <c r="H66" s="73"/>
      <c r="I66" s="708"/>
      <c r="J66" s="715"/>
      <c r="K66" s="69" t="s">
        <v>516</v>
      </c>
      <c r="L66" s="73"/>
      <c r="M66" s="73"/>
      <c r="N66" s="73"/>
      <c r="O66" s="73"/>
      <c r="P66" s="708">
        <v>0.45617999999999997</v>
      </c>
      <c r="Q66" s="709"/>
      <c r="R66" s="73"/>
      <c r="S66" s="73"/>
      <c r="T66" s="708"/>
      <c r="U66" s="715"/>
      <c r="Y66" s="494"/>
      <c r="Z66" s="494"/>
    </row>
    <row r="67" spans="1:26" s="605" customFormat="1" x14ac:dyDescent="0.25">
      <c r="A67" s="54"/>
      <c r="B67" s="54"/>
      <c r="C67" s="54"/>
      <c r="D67" s="54"/>
      <c r="E67" s="54"/>
      <c r="F67" s="54"/>
      <c r="G67" s="54">
        <v>0.28649999999999998</v>
      </c>
      <c r="H67" s="54"/>
      <c r="I67" s="716">
        <v>0.80176999999999998</v>
      </c>
      <c r="J67" s="717"/>
      <c r="K67" s="70" t="s">
        <v>540</v>
      </c>
      <c r="L67" s="54"/>
      <c r="M67" s="54"/>
      <c r="N67" s="54"/>
      <c r="O67" s="54"/>
      <c r="P67" s="54"/>
      <c r="Q67" s="54"/>
      <c r="R67" s="54">
        <v>0.33313953488372089</v>
      </c>
      <c r="S67" s="54"/>
      <c r="T67" s="716">
        <v>0.50800000000000001</v>
      </c>
      <c r="U67" s="717"/>
      <c r="Y67" s="494"/>
      <c r="Z67" s="494"/>
    </row>
    <row r="68" spans="1:26" s="605" customFormat="1" x14ac:dyDescent="0.25">
      <c r="A68" s="54"/>
      <c r="B68" s="54"/>
      <c r="C68" s="54"/>
      <c r="D68" s="54"/>
      <c r="E68" s="54"/>
      <c r="F68" s="54"/>
      <c r="G68" s="54">
        <v>0.20932000000000001</v>
      </c>
      <c r="H68" s="54"/>
      <c r="I68" s="716">
        <v>0.50775999999999999</v>
      </c>
      <c r="J68" s="717"/>
      <c r="K68" s="70" t="s">
        <v>549</v>
      </c>
      <c r="L68" s="54"/>
      <c r="M68" s="54"/>
      <c r="N68" s="54"/>
      <c r="O68" s="54"/>
      <c r="P68" s="54"/>
      <c r="Q68" s="54"/>
      <c r="R68" s="54">
        <v>0.24339534883720934</v>
      </c>
      <c r="S68" s="54"/>
      <c r="T68" s="716">
        <v>0.50775999999999999</v>
      </c>
      <c r="U68" s="717"/>
      <c r="Y68" s="494"/>
      <c r="Z68" s="494"/>
    </row>
    <row r="69" spans="1:26" s="605" customFormat="1" x14ac:dyDescent="0.25">
      <c r="A69" s="54"/>
      <c r="B69" s="54"/>
      <c r="C69" s="54"/>
      <c r="D69" s="54"/>
      <c r="E69" s="54"/>
      <c r="F69" s="54"/>
      <c r="G69" s="54">
        <v>0.14599000000000001</v>
      </c>
      <c r="H69" s="54"/>
      <c r="I69" s="716"/>
      <c r="J69" s="717"/>
      <c r="K69" s="70" t="s">
        <v>552</v>
      </c>
      <c r="L69" s="54"/>
      <c r="M69" s="54"/>
      <c r="N69" s="54"/>
      <c r="O69" s="54"/>
      <c r="P69" s="54"/>
      <c r="Q69" s="54"/>
      <c r="R69" s="54">
        <v>0.16975581395348838</v>
      </c>
      <c r="S69" s="54"/>
      <c r="T69" s="716"/>
      <c r="U69" s="717"/>
      <c r="Y69" s="494"/>
      <c r="Z69" s="494"/>
    </row>
    <row r="70" spans="1:26" s="605" customFormat="1" ht="15.75" thickBot="1" x14ac:dyDescent="0.3">
      <c r="A70" s="76"/>
      <c r="B70" s="76"/>
      <c r="C70" s="76"/>
      <c r="D70" s="76"/>
      <c r="E70" s="76"/>
      <c r="F70" s="76"/>
      <c r="G70" s="76">
        <v>0.12414</v>
      </c>
      <c r="H70" s="76"/>
      <c r="I70" s="718">
        <v>0.61785000000000001</v>
      </c>
      <c r="J70" s="719"/>
      <c r="K70" s="72" t="s">
        <v>539</v>
      </c>
      <c r="L70" s="76"/>
      <c r="M70" s="76"/>
      <c r="N70" s="76"/>
      <c r="O70" s="76"/>
      <c r="P70" s="76"/>
      <c r="Q70" s="76"/>
      <c r="R70" s="76">
        <v>0.14434883720930233</v>
      </c>
      <c r="S70" s="76"/>
      <c r="T70" s="718">
        <v>0.61785000000000001</v>
      </c>
      <c r="U70" s="719"/>
      <c r="Y70" s="494"/>
      <c r="Z70" s="494"/>
    </row>
    <row r="71" spans="1:26" s="605" customFormat="1" ht="15.75" thickBot="1" x14ac:dyDescent="0.3">
      <c r="A71" s="73"/>
      <c r="B71" s="73"/>
      <c r="C71" s="73"/>
      <c r="D71" s="73"/>
      <c r="E71" s="73"/>
      <c r="F71" s="73"/>
      <c r="G71" s="73">
        <v>0.23763000000000001</v>
      </c>
      <c r="H71" s="73"/>
      <c r="I71" s="708">
        <v>1</v>
      </c>
      <c r="J71" s="715"/>
      <c r="K71" s="69" t="s">
        <v>544</v>
      </c>
      <c r="L71" s="73"/>
      <c r="M71" s="73"/>
      <c r="N71" s="73"/>
      <c r="O71" s="73"/>
      <c r="P71" s="73"/>
      <c r="Q71" s="73"/>
      <c r="R71" s="73">
        <v>0.27631395348837212</v>
      </c>
      <c r="S71" s="73"/>
      <c r="T71" s="708">
        <v>1</v>
      </c>
      <c r="U71" s="715"/>
      <c r="Y71" s="494"/>
      <c r="Z71" s="494"/>
    </row>
    <row r="72" spans="1:26" s="605" customFormat="1" x14ac:dyDescent="0.25">
      <c r="A72" s="611"/>
      <c r="B72" s="611"/>
      <c r="C72" s="611"/>
      <c r="D72" s="611"/>
      <c r="E72" s="611"/>
      <c r="F72" s="611"/>
      <c r="G72" s="611"/>
      <c r="H72" s="611"/>
      <c r="I72" s="612"/>
      <c r="J72" s="613"/>
      <c r="K72" s="614" t="s">
        <v>2298</v>
      </c>
      <c r="L72" s="611"/>
      <c r="M72" s="611"/>
      <c r="N72" s="611"/>
      <c r="O72" s="611"/>
      <c r="P72" s="708">
        <v>0.25</v>
      </c>
      <c r="Q72" s="709"/>
      <c r="R72" s="611"/>
      <c r="S72" s="611"/>
      <c r="T72" s="612"/>
      <c r="U72" s="613"/>
      <c r="Y72" s="494"/>
      <c r="Z72" s="494"/>
    </row>
    <row r="73" spans="1:26" s="605" customFormat="1" x14ac:dyDescent="0.25">
      <c r="A73" s="54"/>
      <c r="B73" s="54"/>
      <c r="C73" s="54"/>
      <c r="D73" s="54"/>
      <c r="E73" s="54"/>
      <c r="F73" s="54"/>
      <c r="G73" s="54">
        <v>0.17316000000000001</v>
      </c>
      <c r="H73" s="54"/>
      <c r="I73" s="716"/>
      <c r="J73" s="717"/>
      <c r="K73" s="70" t="s">
        <v>553</v>
      </c>
      <c r="L73" s="54"/>
      <c r="M73" s="54"/>
      <c r="N73" s="54"/>
      <c r="O73" s="54"/>
      <c r="P73" s="54"/>
      <c r="Q73" s="54"/>
      <c r="R73" s="54">
        <v>0.20134883720930236</v>
      </c>
      <c r="S73" s="54"/>
      <c r="T73" s="716"/>
      <c r="U73" s="717"/>
      <c r="Y73" s="494"/>
      <c r="Z73" s="494"/>
    </row>
    <row r="74" spans="1:26" s="605" customFormat="1" ht="15.75" thickBot="1" x14ac:dyDescent="0.3">
      <c r="A74" s="76"/>
      <c r="B74" s="76"/>
      <c r="C74" s="76"/>
      <c r="D74" s="76"/>
      <c r="E74" s="76"/>
      <c r="F74" s="76"/>
      <c r="G74" s="76">
        <v>0.12317</v>
      </c>
      <c r="H74" s="76"/>
      <c r="I74" s="718">
        <v>0.33643600000000001</v>
      </c>
      <c r="J74" s="719"/>
      <c r="K74" s="72" t="s">
        <v>556</v>
      </c>
      <c r="L74" s="76"/>
      <c r="M74" s="76"/>
      <c r="N74" s="76"/>
      <c r="O74" s="76"/>
      <c r="P74" s="76"/>
      <c r="Q74" s="76"/>
      <c r="R74" s="76">
        <v>0.14322093023255814</v>
      </c>
      <c r="S74" s="76"/>
      <c r="T74" s="718">
        <v>0.33643600000000001</v>
      </c>
      <c r="U74" s="719"/>
      <c r="Y74" s="494"/>
      <c r="Z74" s="494"/>
    </row>
    <row r="75" spans="1:26" s="605" customFormat="1" x14ac:dyDescent="0.25">
      <c r="A75" s="73"/>
      <c r="B75" s="73"/>
      <c r="C75" s="73"/>
      <c r="D75" s="73"/>
      <c r="E75" s="73"/>
      <c r="F75" s="73"/>
      <c r="G75" s="73">
        <v>0.20199</v>
      </c>
      <c r="H75" s="73"/>
      <c r="I75" s="708">
        <v>0.85</v>
      </c>
      <c r="J75" s="715"/>
      <c r="K75" s="69" t="s">
        <v>559</v>
      </c>
      <c r="L75" s="73"/>
      <c r="M75" s="73"/>
      <c r="N75" s="73"/>
      <c r="O75" s="73"/>
      <c r="P75" s="73"/>
      <c r="Q75" s="73"/>
      <c r="R75" s="73">
        <v>0.23487209302325585</v>
      </c>
      <c r="S75" s="73"/>
      <c r="T75" s="708">
        <v>0.85</v>
      </c>
      <c r="U75" s="715"/>
      <c r="Y75" s="494"/>
      <c r="Z75" s="494"/>
    </row>
    <row r="76" spans="1:26" s="605" customFormat="1" x14ac:dyDescent="0.25">
      <c r="A76" s="54"/>
      <c r="B76" s="54"/>
      <c r="C76" s="54"/>
      <c r="D76" s="54"/>
      <c r="E76" s="54"/>
      <c r="F76" s="54"/>
      <c r="G76" s="54">
        <v>0.17718999999999999</v>
      </c>
      <c r="H76" s="54"/>
      <c r="I76" s="716"/>
      <c r="J76" s="717"/>
      <c r="K76" s="70" t="s">
        <v>554</v>
      </c>
      <c r="L76" s="54"/>
      <c r="M76" s="54"/>
      <c r="N76" s="54"/>
      <c r="O76" s="54"/>
      <c r="P76" s="54"/>
      <c r="Q76" s="54"/>
      <c r="R76" s="54">
        <v>0.20603488372093021</v>
      </c>
      <c r="S76" s="54"/>
      <c r="T76" s="716"/>
      <c r="U76" s="717"/>
      <c r="Y76" s="494"/>
      <c r="Z76" s="494"/>
    </row>
    <row r="77" spans="1:26" s="605" customFormat="1" ht="15.75" thickBot="1" x14ac:dyDescent="0.3">
      <c r="A77" s="84"/>
      <c r="B77" s="84"/>
      <c r="C77" s="84"/>
      <c r="D77" s="84"/>
      <c r="E77" s="84"/>
      <c r="F77" s="84"/>
      <c r="G77" s="84">
        <v>0.1047</v>
      </c>
      <c r="H77" s="84"/>
      <c r="I77" s="713">
        <v>0.28591</v>
      </c>
      <c r="J77" s="714"/>
      <c r="K77" s="71" t="s">
        <v>557</v>
      </c>
      <c r="L77" s="84"/>
      <c r="M77" s="84"/>
      <c r="N77" s="84"/>
      <c r="O77" s="84"/>
      <c r="P77" s="84"/>
      <c r="Q77" s="84"/>
      <c r="R77" s="84">
        <v>0.12174418604651163</v>
      </c>
      <c r="S77" s="84"/>
      <c r="T77" s="713">
        <v>0.28591</v>
      </c>
      <c r="U77" s="714"/>
      <c r="Y77" s="494"/>
      <c r="Z77" s="494"/>
    </row>
  </sheetData>
  <mergeCells count="205">
    <mergeCell ref="G2:H2"/>
    <mergeCell ref="I2:J2"/>
    <mergeCell ref="C3:D3"/>
    <mergeCell ref="E3:F3"/>
    <mergeCell ref="I3:J3"/>
    <mergeCell ref="A13:B13"/>
    <mergeCell ref="C13:D13"/>
    <mergeCell ref="A4:B4"/>
    <mergeCell ref="C4:D4"/>
    <mergeCell ref="A5:B5"/>
    <mergeCell ref="C5:D5"/>
    <mergeCell ref="C6:D6"/>
    <mergeCell ref="E7:F7"/>
    <mergeCell ref="A2:B2"/>
    <mergeCell ref="C2:D2"/>
    <mergeCell ref="E2:F2"/>
    <mergeCell ref="E14:F14"/>
    <mergeCell ref="C15:D15"/>
    <mergeCell ref="E16:F16"/>
    <mergeCell ref="C18:D18"/>
    <mergeCell ref="E19:F19"/>
    <mergeCell ref="C21:D21"/>
    <mergeCell ref="C8:D8"/>
    <mergeCell ref="E9:F9"/>
    <mergeCell ref="C10:D10"/>
    <mergeCell ref="E11:F11"/>
    <mergeCell ref="C31:D31"/>
    <mergeCell ref="I31:J31"/>
    <mergeCell ref="I33:J33"/>
    <mergeCell ref="C34:D34"/>
    <mergeCell ref="I34:J34"/>
    <mergeCell ref="E22:F22"/>
    <mergeCell ref="C24:D24"/>
    <mergeCell ref="E25:F25"/>
    <mergeCell ref="C27:D27"/>
    <mergeCell ref="I27:J27"/>
    <mergeCell ref="E28:F28"/>
    <mergeCell ref="I28:J28"/>
    <mergeCell ref="E39:F39"/>
    <mergeCell ref="I39:J39"/>
    <mergeCell ref="I40:J40"/>
    <mergeCell ref="A41:B41"/>
    <mergeCell ref="C41:D41"/>
    <mergeCell ref="I41:J41"/>
    <mergeCell ref="I36:J36"/>
    <mergeCell ref="E37:F37"/>
    <mergeCell ref="I37:J37"/>
    <mergeCell ref="A38:B38"/>
    <mergeCell ref="C38:D38"/>
    <mergeCell ref="I38:J38"/>
    <mergeCell ref="E46:F46"/>
    <mergeCell ref="I46:J46"/>
    <mergeCell ref="I47:J47"/>
    <mergeCell ref="I48:J48"/>
    <mergeCell ref="C50:D50"/>
    <mergeCell ref="I50:J50"/>
    <mergeCell ref="E42:F42"/>
    <mergeCell ref="I42:J42"/>
    <mergeCell ref="I43:J43"/>
    <mergeCell ref="I44:J44"/>
    <mergeCell ref="C45:D45"/>
    <mergeCell ref="I45:J45"/>
    <mergeCell ref="E56:F56"/>
    <mergeCell ref="I56:J56"/>
    <mergeCell ref="C57:D57"/>
    <mergeCell ref="I57:J57"/>
    <mergeCell ref="E58:F58"/>
    <mergeCell ref="I58:J58"/>
    <mergeCell ref="I51:J51"/>
    <mergeCell ref="I52:J52"/>
    <mergeCell ref="C53:D53"/>
    <mergeCell ref="I53:J53"/>
    <mergeCell ref="I54:J54"/>
    <mergeCell ref="I55:J55"/>
    <mergeCell ref="I76:J76"/>
    <mergeCell ref="I77:J77"/>
    <mergeCell ref="E66:F66"/>
    <mergeCell ref="I66:J66"/>
    <mergeCell ref="I67:J67"/>
    <mergeCell ref="I68:J68"/>
    <mergeCell ref="I69:J69"/>
    <mergeCell ref="I70:J70"/>
    <mergeCell ref="I59:J59"/>
    <mergeCell ref="I60:J60"/>
    <mergeCell ref="I61:J61"/>
    <mergeCell ref="I62:J62"/>
    <mergeCell ref="I64:J64"/>
    <mergeCell ref="I65:J65"/>
    <mergeCell ref="R2:S2"/>
    <mergeCell ref="T2:U2"/>
    <mergeCell ref="N3:O3"/>
    <mergeCell ref="P3:Q3"/>
    <mergeCell ref="T3:U3"/>
    <mergeCell ref="I71:J71"/>
    <mergeCell ref="I73:J73"/>
    <mergeCell ref="I74:J74"/>
    <mergeCell ref="I75:J75"/>
    <mergeCell ref="I30:J30"/>
    <mergeCell ref="L13:M13"/>
    <mergeCell ref="N13:O13"/>
    <mergeCell ref="L4:M4"/>
    <mergeCell ref="N4:O4"/>
    <mergeCell ref="L5:M5"/>
    <mergeCell ref="N5:O5"/>
    <mergeCell ref="N6:O6"/>
    <mergeCell ref="P7:Q7"/>
    <mergeCell ref="L2:M2"/>
    <mergeCell ref="N2:O2"/>
    <mergeCell ref="P2:Q2"/>
    <mergeCell ref="P14:Q14"/>
    <mergeCell ref="N15:O15"/>
    <mergeCell ref="P16:Q16"/>
    <mergeCell ref="N18:O18"/>
    <mergeCell ref="P19:Q19"/>
    <mergeCell ref="N21:O21"/>
    <mergeCell ref="N8:O8"/>
    <mergeCell ref="P9:Q9"/>
    <mergeCell ref="N10:O10"/>
    <mergeCell ref="P11:Q11"/>
    <mergeCell ref="T30:U30"/>
    <mergeCell ref="N31:O31"/>
    <mergeCell ref="T31:U31"/>
    <mergeCell ref="T33:U33"/>
    <mergeCell ref="N34:O34"/>
    <mergeCell ref="T34:U34"/>
    <mergeCell ref="P22:Q22"/>
    <mergeCell ref="N24:O24"/>
    <mergeCell ref="P25:Q25"/>
    <mergeCell ref="N27:O27"/>
    <mergeCell ref="T27:U27"/>
    <mergeCell ref="P28:Q28"/>
    <mergeCell ref="T28:U28"/>
    <mergeCell ref="P39:Q39"/>
    <mergeCell ref="T39:U39"/>
    <mergeCell ref="T40:U40"/>
    <mergeCell ref="L41:M41"/>
    <mergeCell ref="N41:O41"/>
    <mergeCell ref="T41:U41"/>
    <mergeCell ref="T36:U36"/>
    <mergeCell ref="P37:Q37"/>
    <mergeCell ref="T37:U37"/>
    <mergeCell ref="L38:M38"/>
    <mergeCell ref="N38:O38"/>
    <mergeCell ref="T38:U38"/>
    <mergeCell ref="P46:Q46"/>
    <mergeCell ref="T46:U46"/>
    <mergeCell ref="T47:U47"/>
    <mergeCell ref="T48:U48"/>
    <mergeCell ref="N50:O50"/>
    <mergeCell ref="T50:U50"/>
    <mergeCell ref="P42:Q42"/>
    <mergeCell ref="T42:U42"/>
    <mergeCell ref="T43:U43"/>
    <mergeCell ref="T44:U44"/>
    <mergeCell ref="N45:O45"/>
    <mergeCell ref="T45:U45"/>
    <mergeCell ref="T64:U64"/>
    <mergeCell ref="T65:U65"/>
    <mergeCell ref="P56:Q56"/>
    <mergeCell ref="T56:U56"/>
    <mergeCell ref="N57:O57"/>
    <mergeCell ref="T57:U57"/>
    <mergeCell ref="P58:Q58"/>
    <mergeCell ref="T58:U58"/>
    <mergeCell ref="T51:U51"/>
    <mergeCell ref="T52:U52"/>
    <mergeCell ref="N53:O53"/>
    <mergeCell ref="T53:U53"/>
    <mergeCell ref="T54:U54"/>
    <mergeCell ref="T55:U55"/>
    <mergeCell ref="T73:U73"/>
    <mergeCell ref="T74:U74"/>
    <mergeCell ref="T75:U75"/>
    <mergeCell ref="T76:U76"/>
    <mergeCell ref="T77:U77"/>
    <mergeCell ref="P66:Q66"/>
    <mergeCell ref="T66:U66"/>
    <mergeCell ref="T67:U67"/>
    <mergeCell ref="T68:U68"/>
    <mergeCell ref="T69:U69"/>
    <mergeCell ref="T70:U70"/>
    <mergeCell ref="R1:S1"/>
    <mergeCell ref="T1:U1"/>
    <mergeCell ref="P72:Q72"/>
    <mergeCell ref="P63:Q63"/>
    <mergeCell ref="E1:F1"/>
    <mergeCell ref="P1:Q1"/>
    <mergeCell ref="C1:D1"/>
    <mergeCell ref="A1:B1"/>
    <mergeCell ref="G1:H1"/>
    <mergeCell ref="I1:J1"/>
    <mergeCell ref="L1:M1"/>
    <mergeCell ref="N1:O1"/>
    <mergeCell ref="E49:F49"/>
    <mergeCell ref="I49:J49"/>
    <mergeCell ref="P49:Q49"/>
    <mergeCell ref="T49:U49"/>
    <mergeCell ref="T29:U29"/>
    <mergeCell ref="T32:U32"/>
    <mergeCell ref="T35:U35"/>
    <mergeCell ref="T71:U71"/>
    <mergeCell ref="T59:U59"/>
    <mergeCell ref="T60:U60"/>
    <mergeCell ref="T61:U61"/>
    <mergeCell ref="T62:U62"/>
  </mergeCells>
  <conditionalFormatting sqref="A4:J48 A50:J77">
    <cfRule type="cellIs" dxfId="1890" priority="13" operator="between">
      <formula>0.15</formula>
      <formula>0.3</formula>
    </cfRule>
    <cfRule type="cellIs" dxfId="1889" priority="14" operator="between">
      <formula>0.3</formula>
      <formula>0.6</formula>
    </cfRule>
    <cfRule type="cellIs" dxfId="1888" priority="15" operator="greaterThan">
      <formula>0.6</formula>
    </cfRule>
    <cfRule type="cellIs" dxfId="1887" priority="16" operator="lessThan">
      <formula>0.15</formula>
    </cfRule>
  </conditionalFormatting>
  <conditionalFormatting sqref="L4:U48 L50:U77">
    <cfRule type="cellIs" dxfId="1886" priority="9" operator="between">
      <formula>0.15</formula>
      <formula>0.3</formula>
    </cfRule>
    <cfRule type="cellIs" dxfId="1885" priority="10" operator="between">
      <formula>0.3</formula>
      <formula>0.6</formula>
    </cfRule>
    <cfRule type="cellIs" dxfId="1884" priority="11" operator="greaterThan">
      <formula>0.6</formula>
    </cfRule>
    <cfRule type="cellIs" dxfId="1883" priority="12" operator="lessThan">
      <formula>0.15</formula>
    </cfRule>
  </conditionalFormatting>
  <conditionalFormatting sqref="A49:J49">
    <cfRule type="cellIs" dxfId="1882" priority="5" operator="between">
      <formula>0.15</formula>
      <formula>0.3</formula>
    </cfRule>
    <cfRule type="cellIs" dxfId="1881" priority="6" operator="between">
      <formula>0.3</formula>
      <formula>0.6</formula>
    </cfRule>
    <cfRule type="cellIs" dxfId="1880" priority="7" operator="greaterThan">
      <formula>0.6</formula>
    </cfRule>
    <cfRule type="cellIs" dxfId="1879" priority="8" operator="lessThan">
      <formula>0.15</formula>
    </cfRule>
  </conditionalFormatting>
  <conditionalFormatting sqref="L49:U49">
    <cfRule type="cellIs" dxfId="1878" priority="1" operator="between">
      <formula>0.15</formula>
      <formula>0.3</formula>
    </cfRule>
    <cfRule type="cellIs" dxfId="1877" priority="2" operator="between">
      <formula>0.3</formula>
      <formula>0.6</formula>
    </cfRule>
    <cfRule type="cellIs" dxfId="1876" priority="3" operator="greaterThan">
      <formula>0.6</formula>
    </cfRule>
    <cfRule type="cellIs" dxfId="1875" priority="4" operator="lessThan">
      <formula>0.15</formula>
    </cfRule>
  </conditionalFormatting>
  <pageMargins left="0.7" right="0.7" top="0.75" bottom="0.75" header="0.3" footer="0.3"/>
  <pageSetup paperSize="9" scale="40"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X50"/>
  <sheetViews>
    <sheetView zoomScale="90" zoomScaleNormal="90" workbookViewId="0">
      <pane xSplit="9" ySplit="3" topLeftCell="J4" activePane="bottomRight" state="frozen"/>
      <selection pane="topRight" activeCell="J1" sqref="J1"/>
      <selection pane="bottomLeft" activeCell="A3" sqref="A3"/>
      <selection pane="bottomRight" activeCell="X4" sqref="X4"/>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17" bestFit="1" customWidth="1"/>
    <col min="6" max="6" width="18" style="225" bestFit="1" customWidth="1"/>
    <col min="7" max="7" width="6.5703125" style="225" bestFit="1" customWidth="1"/>
    <col min="8" max="8" width="2.85546875" customWidth="1"/>
    <col min="9" max="9" width="7.42578125" bestFit="1" customWidth="1"/>
    <col min="10" max="10" width="17.42578125" style="2" bestFit="1" customWidth="1"/>
    <col min="11" max="11" width="12.7109375" bestFit="1" customWidth="1"/>
    <col min="12" max="12" width="10" bestFit="1" customWidth="1"/>
    <col min="13" max="13" width="12.7109375" bestFit="1" customWidth="1"/>
    <col min="14" max="14" width="8.5703125" bestFit="1" customWidth="1"/>
    <col min="15" max="15" width="11.42578125" bestFit="1" customWidth="1"/>
    <col min="16" max="17" width="12.7109375" bestFit="1" customWidth="1"/>
    <col min="18" max="18" width="7.5703125" style="321" bestFit="1" customWidth="1"/>
    <col min="19" max="19" width="9" bestFit="1" customWidth="1"/>
    <col min="20" max="20" width="9.28515625" bestFit="1" customWidth="1"/>
    <col min="21" max="21" width="11" bestFit="1" customWidth="1"/>
    <col min="24" max="24" width="12.7109375" bestFit="1" customWidth="1"/>
  </cols>
  <sheetData>
    <row r="1" spans="2:21" ht="9" customHeight="1" x14ac:dyDescent="0.25"/>
    <row r="2" spans="2:21" ht="21" x14ac:dyDescent="0.35">
      <c r="B2" s="735" t="s">
        <v>1681</v>
      </c>
      <c r="C2" s="736"/>
      <c r="D2" s="736"/>
      <c r="E2" s="736"/>
      <c r="F2" s="736"/>
      <c r="G2" s="757"/>
      <c r="I2" s="456" t="s">
        <v>1682</v>
      </c>
      <c r="J2" s="457"/>
      <c r="K2" s="457"/>
      <c r="L2" s="457"/>
      <c r="M2" s="457"/>
      <c r="N2" s="457"/>
      <c r="O2" s="457"/>
      <c r="P2" s="457"/>
      <c r="Q2" s="457"/>
      <c r="R2" s="457"/>
      <c r="S2" s="457"/>
      <c r="T2" s="457"/>
      <c r="U2" s="458"/>
    </row>
    <row r="3" spans="2:21" x14ac:dyDescent="0.25">
      <c r="B3" s="755" t="s">
        <v>1025</v>
      </c>
      <c r="C3" s="749"/>
      <c r="D3" s="749"/>
      <c r="E3" s="749"/>
      <c r="F3" s="749"/>
      <c r="G3" s="756"/>
      <c r="I3" s="346" t="s">
        <v>36</v>
      </c>
      <c r="J3" s="17" t="s">
        <v>481</v>
      </c>
      <c r="K3" s="17" t="s">
        <v>50</v>
      </c>
      <c r="L3" s="17" t="s">
        <v>1332</v>
      </c>
      <c r="M3" s="17" t="s">
        <v>879</v>
      </c>
      <c r="N3" s="17" t="s">
        <v>1726</v>
      </c>
      <c r="O3" s="17" t="s">
        <v>1333</v>
      </c>
      <c r="P3" s="17" t="s">
        <v>950</v>
      </c>
      <c r="Q3" s="17" t="s">
        <v>1336</v>
      </c>
      <c r="R3" s="406" t="s">
        <v>1326</v>
      </c>
      <c r="S3" s="345" t="s">
        <v>1337</v>
      </c>
      <c r="T3" s="345" t="s">
        <v>1334</v>
      </c>
      <c r="U3" s="345" t="s">
        <v>1335</v>
      </c>
    </row>
    <row r="4" spans="2:21" ht="18.75" x14ac:dyDescent="0.3">
      <c r="B4" s="759" t="s">
        <v>948</v>
      </c>
      <c r="C4" s="760"/>
      <c r="D4" s="268"/>
      <c r="E4" s="761" t="s">
        <v>949</v>
      </c>
      <c r="F4" s="762"/>
      <c r="G4" s="268"/>
      <c r="I4" s="187" t="s">
        <v>1004</v>
      </c>
      <c r="J4" s="336" t="s">
        <v>1678</v>
      </c>
      <c r="K4" s="333">
        <v>2601000</v>
      </c>
      <c r="L4" s="333"/>
      <c r="M4" s="333">
        <v>0</v>
      </c>
      <c r="N4" s="333"/>
      <c r="O4" s="333">
        <v>0</v>
      </c>
      <c r="P4" s="343">
        <f t="shared" ref="P4:P42" si="0">IF(M4=0,0,M4-K4)-O4</f>
        <v>0</v>
      </c>
      <c r="Q4" s="333">
        <f t="shared" ref="Q4:Q24" si="1">IF(M4=0,K4,0)</f>
        <v>2601000</v>
      </c>
      <c r="R4" s="403"/>
      <c r="S4" s="347">
        <v>41613</v>
      </c>
      <c r="T4" s="347"/>
      <c r="U4" s="344"/>
    </row>
    <row r="5" spans="2:21" x14ac:dyDescent="0.25">
      <c r="B5" s="243"/>
      <c r="C5" s="244"/>
      <c r="D5" s="423"/>
      <c r="E5" s="243"/>
      <c r="F5" s="244"/>
      <c r="G5" s="269"/>
      <c r="I5" s="187" t="s">
        <v>1004</v>
      </c>
      <c r="J5" s="336" t="s">
        <v>1689</v>
      </c>
      <c r="K5" s="333">
        <v>2591000</v>
      </c>
      <c r="L5" s="333">
        <v>4740</v>
      </c>
      <c r="M5" s="333">
        <v>0</v>
      </c>
      <c r="N5" s="333"/>
      <c r="O5" s="333">
        <v>0</v>
      </c>
      <c r="P5" s="343">
        <f t="shared" si="0"/>
        <v>0</v>
      </c>
      <c r="Q5" s="333">
        <f t="shared" si="1"/>
        <v>2591000</v>
      </c>
      <c r="R5" s="403"/>
      <c r="S5" s="347">
        <v>41282</v>
      </c>
      <c r="T5" s="347"/>
      <c r="U5" s="344"/>
    </row>
    <row r="6" spans="2:21" x14ac:dyDescent="0.25">
      <c r="B6" s="226" t="s">
        <v>951</v>
      </c>
      <c r="C6" s="242">
        <f>SUM(C7:C9)</f>
        <v>3058155</v>
      </c>
      <c r="D6" s="304">
        <f>C6/$C$34</f>
        <v>6.2247611501285612E-2</v>
      </c>
      <c r="E6" s="226" t="s">
        <v>1329</v>
      </c>
      <c r="F6" s="242">
        <f>F7+F8+F9</f>
        <v>30752400</v>
      </c>
      <c r="G6" s="271">
        <f>F6/$F$34</f>
        <v>0.62595370343626644</v>
      </c>
      <c r="I6" s="334" t="s">
        <v>1004</v>
      </c>
      <c r="J6" s="337" t="s">
        <v>1670</v>
      </c>
      <c r="K6" s="335">
        <v>2500000</v>
      </c>
      <c r="L6" s="335"/>
      <c r="M6" s="335">
        <v>2850000</v>
      </c>
      <c r="N6" s="475">
        <f>O6/M6</f>
        <v>7.0000000000000007E-2</v>
      </c>
      <c r="O6" s="335">
        <f>M6-2650500</f>
        <v>199500</v>
      </c>
      <c r="P6" s="335">
        <f t="shared" si="0"/>
        <v>150500</v>
      </c>
      <c r="Q6" s="335">
        <f t="shared" si="1"/>
        <v>0</v>
      </c>
      <c r="R6" s="405">
        <f>P6/K6</f>
        <v>6.0199999999999997E-2</v>
      </c>
      <c r="S6" s="348">
        <v>41568</v>
      </c>
      <c r="T6" s="348">
        <v>41740</v>
      </c>
      <c r="U6" s="353">
        <f>P6/((T6-S6)/7)</f>
        <v>6125</v>
      </c>
    </row>
    <row r="7" spans="2:21" x14ac:dyDescent="0.25">
      <c r="B7" s="249" t="s">
        <v>30</v>
      </c>
      <c r="C7" s="250">
        <f>'A-P_T41'!C7+EconomiaT42!C16</f>
        <v>2466055</v>
      </c>
      <c r="D7" s="424">
        <f>C7/$C$34</f>
        <v>5.0195635466744777E-2</v>
      </c>
      <c r="E7" s="425" t="s">
        <v>1029</v>
      </c>
      <c r="F7" s="237">
        <v>300000</v>
      </c>
      <c r="G7" s="272">
        <f>F7/$F$34</f>
        <v>6.1063888031789373E-3</v>
      </c>
      <c r="I7" s="187" t="s">
        <v>1004</v>
      </c>
      <c r="J7" s="336" t="s">
        <v>1691</v>
      </c>
      <c r="K7" s="333">
        <f>2493696-3876</f>
        <v>2489820</v>
      </c>
      <c r="L7" s="333">
        <v>3876</v>
      </c>
      <c r="M7" s="333">
        <v>0</v>
      </c>
      <c r="N7" s="476"/>
      <c r="O7" s="333">
        <v>0</v>
      </c>
      <c r="P7" s="343">
        <f t="shared" si="0"/>
        <v>0</v>
      </c>
      <c r="Q7" s="333">
        <f t="shared" si="1"/>
        <v>2489820</v>
      </c>
      <c r="R7" s="403"/>
      <c r="S7" s="347">
        <v>41584</v>
      </c>
      <c r="T7" s="347"/>
      <c r="U7" s="344"/>
    </row>
    <row r="8" spans="2:21" x14ac:dyDescent="0.25">
      <c r="B8" s="249" t="s">
        <v>11</v>
      </c>
      <c r="C8" s="250">
        <f>'A-P_T41'!C8+'A-P_T41'!C9+EconomiaT42!C20</f>
        <v>592100</v>
      </c>
      <c r="D8" s="424">
        <f>C8/$C$34</f>
        <v>1.2051976034540829E-2</v>
      </c>
      <c r="E8" s="425" t="s">
        <v>1602</v>
      </c>
      <c r="F8" s="237">
        <f>'A-P_T41'!F9+'A-P_T41'!F8</f>
        <v>23921843</v>
      </c>
      <c r="G8" s="272">
        <f>F8/$F$34</f>
        <v>0.48692024748868146</v>
      </c>
      <c r="I8" s="187" t="s">
        <v>1004</v>
      </c>
      <c r="J8" s="336" t="s">
        <v>1673</v>
      </c>
      <c r="K8" s="333">
        <v>2341000</v>
      </c>
      <c r="L8" s="333"/>
      <c r="M8" s="333">
        <v>0</v>
      </c>
      <c r="N8" s="476"/>
      <c r="O8" s="333">
        <v>0</v>
      </c>
      <c r="P8" s="343">
        <f t="shared" si="0"/>
        <v>0</v>
      </c>
      <c r="Q8" s="333">
        <f t="shared" si="1"/>
        <v>2341000</v>
      </c>
      <c r="R8" s="403"/>
      <c r="S8" s="347">
        <v>41577</v>
      </c>
      <c r="T8" s="347"/>
      <c r="U8" s="344"/>
    </row>
    <row r="9" spans="2:21" x14ac:dyDescent="0.25">
      <c r="B9" s="245" t="s">
        <v>1026</v>
      </c>
      <c r="C9" s="248">
        <v>0</v>
      </c>
      <c r="D9" s="424">
        <f>C9/$C$34</f>
        <v>0</v>
      </c>
      <c r="E9" s="425" t="s">
        <v>1683</v>
      </c>
      <c r="F9" s="237">
        <f>'A-P_T41'!F11+299571+2614</f>
        <v>6530557</v>
      </c>
      <c r="G9" s="272">
        <f>F9/$F$34</f>
        <v>0.13292706714440611</v>
      </c>
      <c r="I9" s="334" t="s">
        <v>1004</v>
      </c>
      <c r="J9" s="337" t="s">
        <v>1613</v>
      </c>
      <c r="K9" s="335">
        <v>2300000</v>
      </c>
      <c r="L9" s="335"/>
      <c r="M9" s="335">
        <v>3396600</v>
      </c>
      <c r="N9" s="475">
        <f>O9/M9</f>
        <v>7.0000000000000007E-2</v>
      </c>
      <c r="O9" s="335">
        <f>M9-3158838</f>
        <v>237762</v>
      </c>
      <c r="P9" s="335">
        <f t="shared" si="0"/>
        <v>858838</v>
      </c>
      <c r="Q9" s="335">
        <f t="shared" si="1"/>
        <v>0</v>
      </c>
      <c r="R9" s="405">
        <f>P9/K9</f>
        <v>0.3734078260869565</v>
      </c>
      <c r="S9" s="348">
        <v>41469</v>
      </c>
      <c r="T9" s="348">
        <v>41646</v>
      </c>
      <c r="U9" s="353">
        <f>P9/((T9-S9)/7)</f>
        <v>33965.344632768363</v>
      </c>
    </row>
    <row r="10" spans="2:21" x14ac:dyDescent="0.25">
      <c r="B10" s="228"/>
      <c r="C10" s="227"/>
      <c r="D10" s="304"/>
      <c r="E10" s="426"/>
      <c r="F10" s="227"/>
      <c r="G10" s="271"/>
      <c r="I10" s="187" t="s">
        <v>1004</v>
      </c>
      <c r="J10" s="336" t="s">
        <v>1649</v>
      </c>
      <c r="K10" s="333">
        <v>2166000</v>
      </c>
      <c r="L10" s="333"/>
      <c r="M10" s="333">
        <v>0</v>
      </c>
      <c r="N10" s="476"/>
      <c r="O10" s="333">
        <v>0</v>
      </c>
      <c r="P10" s="343">
        <f t="shared" si="0"/>
        <v>0</v>
      </c>
      <c r="Q10" s="333">
        <f t="shared" si="1"/>
        <v>2166000</v>
      </c>
      <c r="R10" s="403"/>
      <c r="S10" s="347">
        <v>41542</v>
      </c>
      <c r="T10" s="347"/>
      <c r="U10" s="344"/>
    </row>
    <row r="11" spans="2:21" x14ac:dyDescent="0.25">
      <c r="B11" s="226" t="s">
        <v>481</v>
      </c>
      <c r="C11" s="242">
        <f>SUM(C12:C15)</f>
        <v>26916280</v>
      </c>
      <c r="D11" s="304">
        <f>C11/$C$34</f>
        <v>0.54787090271743055</v>
      </c>
      <c r="E11" s="226" t="s">
        <v>1677</v>
      </c>
      <c r="F11" s="242">
        <f>SUM(F12:F17)</f>
        <v>5217246</v>
      </c>
      <c r="G11" s="271">
        <f t="shared" ref="G11:G17" si="2">F11/$F$34</f>
        <v>0.10619510852610033</v>
      </c>
      <c r="I11" s="187" t="s">
        <v>1004</v>
      </c>
      <c r="J11" s="336" t="s">
        <v>1676</v>
      </c>
      <c r="K11" s="333">
        <v>2125000</v>
      </c>
      <c r="L11" s="333"/>
      <c r="M11" s="333">
        <v>0</v>
      </c>
      <c r="N11" s="476"/>
      <c r="O11" s="333">
        <v>0</v>
      </c>
      <c r="P11" s="343">
        <f t="shared" si="0"/>
        <v>0</v>
      </c>
      <c r="Q11" s="333">
        <f t="shared" si="1"/>
        <v>2125000</v>
      </c>
      <c r="R11" s="403"/>
      <c r="S11" s="347">
        <v>41584</v>
      </c>
      <c r="T11" s="347"/>
      <c r="U11" s="344"/>
    </row>
    <row r="12" spans="2:21" x14ac:dyDescent="0.25">
      <c r="B12" s="231" t="s">
        <v>1381</v>
      </c>
      <c r="C12" s="232">
        <f>SUMIF(I4:I102,"S",$Q$4:$Q$102)</f>
        <v>0</v>
      </c>
      <c r="D12" s="424">
        <f>C12/$C$34</f>
        <v>0</v>
      </c>
      <c r="E12" s="339" t="s">
        <v>1194</v>
      </c>
      <c r="F12" s="340">
        <f>SUMIF(I4:I102,"J",$P$4:$P$102)</f>
        <v>0</v>
      </c>
      <c r="G12" s="272">
        <f t="shared" si="2"/>
        <v>0</v>
      </c>
      <c r="I12" s="187" t="s">
        <v>1006</v>
      </c>
      <c r="J12" s="336" t="s">
        <v>1612</v>
      </c>
      <c r="K12" s="333">
        <v>2017000</v>
      </c>
      <c r="L12" s="333"/>
      <c r="M12" s="333">
        <v>0</v>
      </c>
      <c r="N12" s="476"/>
      <c r="O12" s="333">
        <v>0</v>
      </c>
      <c r="P12" s="343">
        <f t="shared" si="0"/>
        <v>0</v>
      </c>
      <c r="Q12" s="333">
        <f t="shared" si="1"/>
        <v>2017000</v>
      </c>
      <c r="R12" s="403"/>
      <c r="S12" s="347">
        <v>41465</v>
      </c>
      <c r="T12" s="347"/>
      <c r="U12" s="344"/>
    </row>
    <row r="13" spans="2:21" x14ac:dyDescent="0.25">
      <c r="B13" s="231" t="s">
        <v>481</v>
      </c>
      <c r="C13" s="232">
        <f>SUMIF(I4:I102,"J",$Q$4:$Q$102)</f>
        <v>12140460</v>
      </c>
      <c r="D13" s="424">
        <f>C13/$C$34</f>
        <v>0.24711456336480586</v>
      </c>
      <c r="E13" s="339" t="s">
        <v>1382</v>
      </c>
      <c r="F13" s="340">
        <f>SUMIF(I4:I102,"S",$P$4:$P$102)</f>
        <v>0</v>
      </c>
      <c r="G13" s="272">
        <f t="shared" si="2"/>
        <v>0</v>
      </c>
      <c r="I13" s="334" t="s">
        <v>1004</v>
      </c>
      <c r="J13" s="337" t="s">
        <v>1615</v>
      </c>
      <c r="K13" s="335">
        <v>1805000</v>
      </c>
      <c r="L13" s="335"/>
      <c r="M13" s="335">
        <v>2190000</v>
      </c>
      <c r="N13" s="475">
        <f>O13/M13</f>
        <v>7.0000000000000007E-2</v>
      </c>
      <c r="O13" s="335">
        <f>M13-2036700</f>
        <v>153300</v>
      </c>
      <c r="P13" s="335">
        <f t="shared" si="0"/>
        <v>231700</v>
      </c>
      <c r="Q13" s="335">
        <f t="shared" si="1"/>
        <v>0</v>
      </c>
      <c r="R13" s="405">
        <f>P13/K13</f>
        <v>0.12836565096952909</v>
      </c>
      <c r="S13" s="348">
        <v>41485</v>
      </c>
      <c r="T13" s="348">
        <v>41651</v>
      </c>
      <c r="U13" s="353">
        <f>P13/((T13-S13)/7)</f>
        <v>9770.4819277108436</v>
      </c>
    </row>
    <row r="14" spans="2:21" x14ac:dyDescent="0.25">
      <c r="B14" s="231" t="s">
        <v>819</v>
      </c>
      <c r="C14" s="232">
        <f>SUMIF(I4:I102,"E",$Q$4:$Q$102)</f>
        <v>14313820</v>
      </c>
      <c r="D14" s="424">
        <f>C14/$C$34</f>
        <v>0.29135250059572909</v>
      </c>
      <c r="E14" s="339" t="s">
        <v>1195</v>
      </c>
      <c r="F14" s="340">
        <f>SUMIF(I4:I102,"C",$P$4:$P$102)</f>
        <v>282388</v>
      </c>
      <c r="G14" s="272">
        <f t="shared" si="2"/>
        <v>5.7479030711736455E-3</v>
      </c>
      <c r="I14" s="187" t="s">
        <v>1006</v>
      </c>
      <c r="J14" s="336" t="s">
        <v>1690</v>
      </c>
      <c r="K14" s="333">
        <v>1532040</v>
      </c>
      <c r="L14" s="333">
        <v>39408</v>
      </c>
      <c r="M14" s="333">
        <v>0</v>
      </c>
      <c r="N14" s="476"/>
      <c r="O14" s="333">
        <v>0</v>
      </c>
      <c r="P14" s="343">
        <f t="shared" si="0"/>
        <v>0</v>
      </c>
      <c r="Q14" s="333">
        <f t="shared" si="1"/>
        <v>1532040</v>
      </c>
      <c r="R14" s="403"/>
      <c r="S14" s="347">
        <v>41282</v>
      </c>
      <c r="T14" s="347"/>
      <c r="U14" s="344"/>
    </row>
    <row r="15" spans="2:21" x14ac:dyDescent="0.25">
      <c r="B15" s="231" t="s">
        <v>997</v>
      </c>
      <c r="C15" s="232">
        <f>SUMIF(I4:I102,"M",$Q$4:$Q$102)</f>
        <v>462000</v>
      </c>
      <c r="D15" s="424">
        <f>C15/$C$34</f>
        <v>9.403838756895563E-3</v>
      </c>
      <c r="E15" s="339" t="s">
        <v>1196</v>
      </c>
      <c r="F15" s="340">
        <f>SUMIF(I4:I102,"E",$P$4:$P$102)</f>
        <v>2452033</v>
      </c>
      <c r="G15" s="272">
        <f t="shared" si="2"/>
        <v>4.9910222854084196E-2</v>
      </c>
      <c r="I15" s="187" t="s">
        <v>1006</v>
      </c>
      <c r="J15" s="336" t="s">
        <v>1243</v>
      </c>
      <c r="K15" s="333">
        <v>1450000</v>
      </c>
      <c r="L15" s="333"/>
      <c r="M15" s="333">
        <v>0</v>
      </c>
      <c r="N15" s="476"/>
      <c r="O15" s="333">
        <v>0</v>
      </c>
      <c r="P15" s="343">
        <f t="shared" si="0"/>
        <v>0</v>
      </c>
      <c r="Q15" s="333">
        <f t="shared" si="1"/>
        <v>1450000</v>
      </c>
      <c r="R15" s="403"/>
      <c r="S15" s="347">
        <v>41179</v>
      </c>
      <c r="T15" s="347"/>
      <c r="U15" s="344"/>
    </row>
    <row r="16" spans="2:21" x14ac:dyDescent="0.25">
      <c r="B16" s="235"/>
      <c r="C16" s="236"/>
      <c r="D16" s="304"/>
      <c r="E16" s="339" t="s">
        <v>1197</v>
      </c>
      <c r="F16" s="340">
        <f>SUMIF(I4:I102,"M",$P$4:$P$102)</f>
        <v>55509</v>
      </c>
      <c r="G16" s="272">
        <f t="shared" si="2"/>
        <v>1.1298651202521987E-3</v>
      </c>
      <c r="I16" s="334" t="s">
        <v>1004</v>
      </c>
      <c r="J16" s="337" t="s">
        <v>1291</v>
      </c>
      <c r="K16" s="335">
        <v>1300000</v>
      </c>
      <c r="L16" s="335"/>
      <c r="M16" s="335">
        <v>2699995</v>
      </c>
      <c r="N16" s="475">
        <f>O16/M16</f>
        <v>7.0000129629869678E-2</v>
      </c>
      <c r="O16" s="335">
        <f>M16-2510995</f>
        <v>189000</v>
      </c>
      <c r="P16" s="335">
        <f t="shared" si="0"/>
        <v>1210995</v>
      </c>
      <c r="Q16" s="335">
        <f t="shared" si="1"/>
        <v>0</v>
      </c>
      <c r="R16" s="405">
        <f>P16/K16</f>
        <v>0.93153461538461535</v>
      </c>
      <c r="S16" s="348">
        <v>41282</v>
      </c>
      <c r="T16" s="348">
        <v>41646</v>
      </c>
      <c r="U16" s="353">
        <f>P16/((T16-S16)/7)</f>
        <v>23288.365384615383</v>
      </c>
    </row>
    <row r="17" spans="2:24" x14ac:dyDescent="0.25">
      <c r="B17" s="226" t="s">
        <v>48</v>
      </c>
      <c r="C17" s="260">
        <f>C18+C19</f>
        <v>10795170</v>
      </c>
      <c r="D17" s="304">
        <f>C17/$C$34</f>
        <v>0.21973168405471055</v>
      </c>
      <c r="E17" s="341" t="s">
        <v>1596</v>
      </c>
      <c r="F17" s="342">
        <f>'A-P_T42'!C9+C22-F27+EconomiaT42!C24-EconomiaT42!C5</f>
        <v>2427316</v>
      </c>
      <c r="G17" s="272">
        <f t="shared" si="2"/>
        <v>4.9407117480590283E-2</v>
      </c>
      <c r="I17" s="187" t="s">
        <v>1006</v>
      </c>
      <c r="J17" s="336" t="s">
        <v>1616</v>
      </c>
      <c r="K17" s="333">
        <v>1275000</v>
      </c>
      <c r="L17" s="333"/>
      <c r="M17" s="333">
        <v>0</v>
      </c>
      <c r="N17" s="476"/>
      <c r="O17" s="333">
        <v>0</v>
      </c>
      <c r="P17" s="343">
        <f t="shared" si="0"/>
        <v>0</v>
      </c>
      <c r="Q17" s="333">
        <f t="shared" si="1"/>
        <v>1275000</v>
      </c>
      <c r="R17" s="403"/>
      <c r="S17" s="347">
        <v>41488</v>
      </c>
      <c r="T17" s="347"/>
      <c r="U17" s="344"/>
    </row>
    <row r="18" spans="2:24" x14ac:dyDescent="0.25">
      <c r="B18" s="231" t="s">
        <v>48</v>
      </c>
      <c r="C18" s="232">
        <f>SUM(M4:M99)</f>
        <v>11608840</v>
      </c>
      <c r="D18" s="424">
        <f>C18/$C$34</f>
        <v>0.23629363531298592</v>
      </c>
      <c r="E18" s="228"/>
      <c r="F18" s="227"/>
      <c r="G18" s="270"/>
      <c r="I18" s="187" t="s">
        <v>1006</v>
      </c>
      <c r="J18" s="336" t="s">
        <v>1684</v>
      </c>
      <c r="K18" s="333">
        <v>1071000</v>
      </c>
      <c r="L18" s="333"/>
      <c r="M18" s="333">
        <v>0</v>
      </c>
      <c r="N18" s="476"/>
      <c r="O18" s="333">
        <v>0</v>
      </c>
      <c r="P18" s="343">
        <f t="shared" si="0"/>
        <v>0</v>
      </c>
      <c r="Q18" s="333">
        <f t="shared" si="1"/>
        <v>1071000</v>
      </c>
      <c r="R18" s="403"/>
      <c r="S18" s="347">
        <v>41624</v>
      </c>
      <c r="T18" s="347"/>
      <c r="U18" s="344"/>
    </row>
    <row r="19" spans="2:24" x14ac:dyDescent="0.25">
      <c r="B19" s="245" t="s">
        <v>5</v>
      </c>
      <c r="C19" s="248">
        <f>SUM(O4:O99)*-1</f>
        <v>-813670</v>
      </c>
      <c r="D19" s="424">
        <f>C19/$C$34</f>
        <v>-1.6561951258275354E-2</v>
      </c>
      <c r="E19" s="226" t="s">
        <v>1034</v>
      </c>
      <c r="F19" s="260">
        <f>F20+F21</f>
        <v>7074860</v>
      </c>
      <c r="G19" s="271">
        <f>F19/$F$34</f>
        <v>0.14400615296019512</v>
      </c>
      <c r="I19" s="187" t="s">
        <v>1006</v>
      </c>
      <c r="J19" s="336" t="s">
        <v>1614</v>
      </c>
      <c r="K19" s="333">
        <v>950000</v>
      </c>
      <c r="L19" s="333"/>
      <c r="M19" s="333">
        <v>0</v>
      </c>
      <c r="N19" s="476"/>
      <c r="O19" s="333">
        <v>0</v>
      </c>
      <c r="P19" s="343">
        <f t="shared" si="0"/>
        <v>0</v>
      </c>
      <c r="Q19" s="333">
        <f t="shared" si="1"/>
        <v>950000</v>
      </c>
      <c r="R19" s="403"/>
      <c r="S19" s="347">
        <v>41480</v>
      </c>
      <c r="T19" s="347"/>
      <c r="U19" s="344"/>
      <c r="X19" s="247"/>
    </row>
    <row r="20" spans="2:24" x14ac:dyDescent="0.25">
      <c r="B20" s="235"/>
      <c r="C20" s="236"/>
      <c r="D20" s="424"/>
      <c r="E20" s="307" t="s">
        <v>50</v>
      </c>
      <c r="F20" s="427">
        <f>EconomiaT42!C19</f>
        <v>7134696</v>
      </c>
      <c r="G20" s="272">
        <f>F20/$F$34</f>
        <v>0.1452240925616185</v>
      </c>
      <c r="I20" s="187" t="s">
        <v>1006</v>
      </c>
      <c r="J20" s="336" t="s">
        <v>1685</v>
      </c>
      <c r="K20" s="333">
        <v>816000</v>
      </c>
      <c r="L20" s="333"/>
      <c r="M20" s="333">
        <v>0</v>
      </c>
      <c r="N20" s="476"/>
      <c r="O20" s="333">
        <v>0</v>
      </c>
      <c r="P20" s="343">
        <f t="shared" si="0"/>
        <v>0</v>
      </c>
      <c r="Q20" s="333">
        <f t="shared" si="1"/>
        <v>816000</v>
      </c>
      <c r="R20" s="403"/>
      <c r="S20" s="347">
        <v>41624</v>
      </c>
      <c r="T20" s="347"/>
      <c r="U20" s="344"/>
    </row>
    <row r="21" spans="2:24" x14ac:dyDescent="0.25">
      <c r="B21" s="235"/>
      <c r="C21" s="236"/>
      <c r="D21" s="304"/>
      <c r="E21" s="245" t="s">
        <v>1140</v>
      </c>
      <c r="F21" s="238">
        <f>SUM(L4:L99)*-1</f>
        <v>-59836</v>
      </c>
      <c r="G21" s="272">
        <f>F21/$F$34</f>
        <v>-1.217939601423383E-3</v>
      </c>
      <c r="I21" s="187" t="s">
        <v>1006</v>
      </c>
      <c r="J21" s="336" t="s">
        <v>1618</v>
      </c>
      <c r="K21" s="333">
        <v>800000</v>
      </c>
      <c r="L21" s="333"/>
      <c r="M21" s="333">
        <v>0</v>
      </c>
      <c r="N21" s="476"/>
      <c r="O21" s="333">
        <v>0</v>
      </c>
      <c r="P21" s="343">
        <f t="shared" si="0"/>
        <v>0</v>
      </c>
      <c r="Q21" s="333">
        <f t="shared" si="1"/>
        <v>800000</v>
      </c>
      <c r="R21" s="403"/>
      <c r="S21" s="347">
        <v>41491</v>
      </c>
      <c r="T21" s="347"/>
      <c r="U21" s="344"/>
    </row>
    <row r="22" spans="2:24" x14ac:dyDescent="0.25">
      <c r="B22" s="226" t="s">
        <v>1328</v>
      </c>
      <c r="C22" s="242">
        <f>SUM(C23:C27)</f>
        <v>5316998</v>
      </c>
      <c r="D22" s="304">
        <f t="shared" ref="D22:D27" si="3">C22/$C$34</f>
        <v>0.108225523512416</v>
      </c>
      <c r="E22" s="228"/>
      <c r="F22" s="227"/>
      <c r="G22" s="270"/>
      <c r="I22" s="187" t="s">
        <v>1006</v>
      </c>
      <c r="J22" s="336" t="s">
        <v>1339</v>
      </c>
      <c r="K22" s="333">
        <v>785000</v>
      </c>
      <c r="L22" s="333"/>
      <c r="M22" s="333">
        <v>0</v>
      </c>
      <c r="N22" s="476"/>
      <c r="O22" s="333">
        <v>0</v>
      </c>
      <c r="P22" s="343">
        <f t="shared" si="0"/>
        <v>0</v>
      </c>
      <c r="Q22" s="333">
        <f t="shared" si="1"/>
        <v>785000</v>
      </c>
      <c r="R22" s="403"/>
      <c r="S22" s="347">
        <v>41325</v>
      </c>
      <c r="T22" s="347"/>
      <c r="U22" s="344"/>
      <c r="W22" s="247"/>
      <c r="X22" s="247"/>
    </row>
    <row r="23" spans="2:24" x14ac:dyDescent="0.25">
      <c r="B23" s="233" t="s">
        <v>42</v>
      </c>
      <c r="C23" s="234">
        <f>EconomiaT42!C11</f>
        <v>71640</v>
      </c>
      <c r="D23" s="424">
        <f t="shared" si="3"/>
        <v>1.4582056461991302E-3</v>
      </c>
      <c r="E23" s="429" t="s">
        <v>1600</v>
      </c>
      <c r="F23" s="242">
        <f>F24+F25</f>
        <v>301580</v>
      </c>
      <c r="G23" s="271">
        <f>F23/$F$34</f>
        <v>6.1385491175423466E-3</v>
      </c>
      <c r="I23" s="187" t="s">
        <v>1006</v>
      </c>
      <c r="J23" s="336" t="s">
        <v>1325</v>
      </c>
      <c r="K23" s="333">
        <v>761000</v>
      </c>
      <c r="L23" s="333"/>
      <c r="M23" s="333">
        <v>0</v>
      </c>
      <c r="N23" s="476"/>
      <c r="O23" s="333">
        <v>0</v>
      </c>
      <c r="P23" s="343">
        <f t="shared" si="0"/>
        <v>0</v>
      </c>
      <c r="Q23" s="333">
        <f t="shared" si="1"/>
        <v>761000</v>
      </c>
      <c r="R23" s="403"/>
      <c r="S23" s="347">
        <v>41323</v>
      </c>
      <c r="T23" s="347"/>
      <c r="U23" s="344"/>
    </row>
    <row r="24" spans="2:24" x14ac:dyDescent="0.25">
      <c r="B24" s="233" t="s">
        <v>51</v>
      </c>
      <c r="C24" s="234">
        <f>EconomiaT42!C12</f>
        <v>90002</v>
      </c>
      <c r="D24" s="424">
        <f t="shared" si="3"/>
        <v>1.831957350212369E-3</v>
      </c>
      <c r="E24" s="307" t="s">
        <v>30</v>
      </c>
      <c r="F24" s="428">
        <f>EconomiaT42!C16</f>
        <v>301580</v>
      </c>
      <c r="G24" s="272">
        <f>F24/$F$34</f>
        <v>6.1385491175423466E-3</v>
      </c>
      <c r="I24" s="187" t="s">
        <v>1006</v>
      </c>
      <c r="J24" s="336" t="s">
        <v>1620</v>
      </c>
      <c r="K24" s="333">
        <v>633420</v>
      </c>
      <c r="L24" s="333"/>
      <c r="M24" s="333">
        <v>0</v>
      </c>
      <c r="N24" s="476"/>
      <c r="O24" s="333">
        <v>0</v>
      </c>
      <c r="P24" s="343">
        <f t="shared" si="0"/>
        <v>0</v>
      </c>
      <c r="Q24" s="333">
        <f t="shared" si="1"/>
        <v>633420</v>
      </c>
      <c r="R24" s="403"/>
      <c r="S24" s="347">
        <v>41515</v>
      </c>
      <c r="T24" s="347"/>
      <c r="U24" s="344"/>
    </row>
    <row r="25" spans="2:24" x14ac:dyDescent="0.25">
      <c r="B25" s="233" t="s">
        <v>0</v>
      </c>
      <c r="C25" s="234">
        <f>EconomiaT42!C6</f>
        <v>2925905</v>
      </c>
      <c r="D25" s="424">
        <f t="shared" si="3"/>
        <v>5.9555711770550891E-2</v>
      </c>
      <c r="E25" s="307" t="s">
        <v>11</v>
      </c>
      <c r="F25" s="428">
        <f>EconomiaT42!C20</f>
        <v>0</v>
      </c>
      <c r="G25" s="272">
        <f>F25/$F$34</f>
        <v>0</v>
      </c>
      <c r="I25" s="34" t="s">
        <v>1198</v>
      </c>
      <c r="J25" s="345" t="s">
        <v>1708</v>
      </c>
      <c r="K25" s="278">
        <v>458000</v>
      </c>
      <c r="L25" s="278"/>
      <c r="M25" s="278">
        <v>0</v>
      </c>
      <c r="N25" s="477"/>
      <c r="O25" s="278">
        <v>0</v>
      </c>
      <c r="P25" s="278">
        <f t="shared" si="0"/>
        <v>0</v>
      </c>
      <c r="Q25" s="278">
        <v>0</v>
      </c>
      <c r="R25" s="404"/>
      <c r="S25" s="352"/>
      <c r="T25" s="352"/>
      <c r="U25" s="351"/>
    </row>
    <row r="26" spans="2:24" x14ac:dyDescent="0.25">
      <c r="B26" s="233" t="s">
        <v>2</v>
      </c>
      <c r="C26" s="234">
        <f>EconomiaT42!C7</f>
        <v>1979682</v>
      </c>
      <c r="D26" s="424">
        <f t="shared" si="3"/>
        <v>4.0295693328849615E-2</v>
      </c>
      <c r="E26" s="226"/>
      <c r="F26" s="242"/>
      <c r="G26" s="271"/>
      <c r="I26" s="334" t="s">
        <v>1005</v>
      </c>
      <c r="J26" s="337" t="s">
        <v>1679</v>
      </c>
      <c r="K26" s="335">
        <v>63240</v>
      </c>
      <c r="L26" s="335"/>
      <c r="M26" s="335">
        <v>99995</v>
      </c>
      <c r="N26" s="475">
        <f>O26/M26</f>
        <v>0.10569528476423821</v>
      </c>
      <c r="O26" s="335">
        <f>M26-89426</f>
        <v>10569</v>
      </c>
      <c r="P26" s="335">
        <f t="shared" si="0"/>
        <v>26186</v>
      </c>
      <c r="Q26" s="335">
        <f t="shared" ref="Q26:Q42" si="4">IF(M26=0,K26,0)</f>
        <v>0</v>
      </c>
      <c r="R26" s="405">
        <f>P26/K26</f>
        <v>0.41407337128399746</v>
      </c>
      <c r="S26" s="348">
        <v>41613</v>
      </c>
      <c r="T26" s="348">
        <v>41651</v>
      </c>
      <c r="U26" s="353">
        <f>P26/((T26-S26)/7)</f>
        <v>4823.7368421052633</v>
      </c>
    </row>
    <row r="27" spans="2:24" x14ac:dyDescent="0.25">
      <c r="B27" s="233" t="s">
        <v>5</v>
      </c>
      <c r="C27" s="234">
        <f>EconomiaT42!C10</f>
        <v>249769</v>
      </c>
      <c r="D27" s="424">
        <f t="shared" si="3"/>
        <v>5.0839554166039998E-3</v>
      </c>
      <c r="E27" s="226" t="s">
        <v>1601</v>
      </c>
      <c r="F27" s="242">
        <f>SUM(F28:F33)</f>
        <v>5782787</v>
      </c>
      <c r="G27" s="271">
        <f t="shared" ref="G27:G33" si="5">F27/$F$34</f>
        <v>0.11770648595989572</v>
      </c>
      <c r="I27" s="187" t="s">
        <v>1006</v>
      </c>
      <c r="J27" s="336" t="s">
        <v>1577</v>
      </c>
      <c r="K27" s="333">
        <v>50000</v>
      </c>
      <c r="L27" s="333"/>
      <c r="M27" s="333">
        <v>0</v>
      </c>
      <c r="N27" s="476"/>
      <c r="O27" s="333">
        <v>0</v>
      </c>
      <c r="P27" s="343">
        <f t="shared" si="0"/>
        <v>0</v>
      </c>
      <c r="Q27" s="333">
        <f t="shared" si="4"/>
        <v>50000</v>
      </c>
      <c r="R27" s="403"/>
      <c r="S27" s="347">
        <v>41387</v>
      </c>
      <c r="T27" s="347"/>
      <c r="U27" s="344"/>
    </row>
    <row r="28" spans="2:24" x14ac:dyDescent="0.25">
      <c r="B28" s="226"/>
      <c r="C28" s="242"/>
      <c r="D28" s="304"/>
      <c r="E28" s="307" t="s">
        <v>882</v>
      </c>
      <c r="F28" s="428">
        <f>EconomiaT42!C14</f>
        <v>4046934</v>
      </c>
      <c r="G28" s="272">
        <f t="shared" si="5"/>
        <v>8.2373841549347168E-2</v>
      </c>
      <c r="I28" s="187" t="s">
        <v>1005</v>
      </c>
      <c r="J28" s="336" t="s">
        <v>1701</v>
      </c>
      <c r="K28" s="333">
        <v>49000</v>
      </c>
      <c r="L28" s="333">
        <v>684</v>
      </c>
      <c r="M28" s="333">
        <v>0</v>
      </c>
      <c r="N28" s="476"/>
      <c r="O28" s="333">
        <v>0</v>
      </c>
      <c r="P28" s="343">
        <f t="shared" si="0"/>
        <v>0</v>
      </c>
      <c r="Q28" s="333">
        <f t="shared" si="4"/>
        <v>49000</v>
      </c>
      <c r="R28" s="403"/>
      <c r="S28" s="347">
        <v>41729</v>
      </c>
      <c r="T28" s="347"/>
      <c r="U28" s="344"/>
    </row>
    <row r="29" spans="2:24" x14ac:dyDescent="0.25">
      <c r="B29" s="226" t="s">
        <v>1200</v>
      </c>
      <c r="C29" s="242">
        <f>EconomiaT42!S24</f>
        <v>3042270</v>
      </c>
      <c r="D29" s="304">
        <f>C29/$C$34</f>
        <v>6.1924278214157281E-2</v>
      </c>
      <c r="E29" s="307" t="s">
        <v>29</v>
      </c>
      <c r="F29" s="428">
        <f>EconomiaT42!C15</f>
        <v>488033</v>
      </c>
      <c r="G29" s="272">
        <f t="shared" si="5"/>
        <v>9.9337308226060874E-3</v>
      </c>
      <c r="I29" s="187" t="s">
        <v>1005</v>
      </c>
      <c r="J29" s="336" t="s">
        <v>1705</v>
      </c>
      <c r="K29" s="333">
        <v>42000</v>
      </c>
      <c r="L29" s="333">
        <v>492</v>
      </c>
      <c r="M29" s="333">
        <v>0</v>
      </c>
      <c r="N29" s="476"/>
      <c r="O29" s="333">
        <v>0</v>
      </c>
      <c r="P29" s="343">
        <f t="shared" si="0"/>
        <v>0</v>
      </c>
      <c r="Q29" s="333">
        <f t="shared" si="4"/>
        <v>42000</v>
      </c>
      <c r="R29" s="403"/>
      <c r="S29" s="347">
        <v>41733</v>
      </c>
      <c r="T29" s="347"/>
      <c r="U29" s="344"/>
    </row>
    <row r="30" spans="2:24" x14ac:dyDescent="0.25">
      <c r="B30" s="226"/>
      <c r="C30" s="242"/>
      <c r="D30" s="304"/>
      <c r="E30" s="307" t="s">
        <v>6</v>
      </c>
      <c r="F30" s="428">
        <f>EconomiaT42!C17</f>
        <v>790200</v>
      </c>
      <c r="G30" s="272">
        <f t="shared" si="5"/>
        <v>1.6084228107573321E-2</v>
      </c>
      <c r="I30" s="187" t="s">
        <v>1005</v>
      </c>
      <c r="J30" s="336" t="s">
        <v>1698</v>
      </c>
      <c r="K30" s="333">
        <v>40000</v>
      </c>
      <c r="L30" s="333">
        <v>684</v>
      </c>
      <c r="M30" s="333">
        <v>0</v>
      </c>
      <c r="N30" s="476"/>
      <c r="O30" s="333">
        <v>0</v>
      </c>
      <c r="P30" s="343">
        <f t="shared" si="0"/>
        <v>0</v>
      </c>
      <c r="Q30" s="333">
        <f t="shared" si="4"/>
        <v>40000</v>
      </c>
      <c r="R30" s="403"/>
      <c r="S30" s="347">
        <v>41722</v>
      </c>
      <c r="T30" s="347"/>
      <c r="U30" s="344"/>
    </row>
    <row r="31" spans="2:24" x14ac:dyDescent="0.25">
      <c r="B31" s="226"/>
      <c r="C31" s="242"/>
      <c r="D31" s="304"/>
      <c r="E31" s="307" t="s">
        <v>8</v>
      </c>
      <c r="F31" s="428">
        <f>EconomiaT42!C18</f>
        <v>320000</v>
      </c>
      <c r="G31" s="272">
        <f t="shared" si="5"/>
        <v>6.5134813900575329E-3</v>
      </c>
      <c r="I31" s="334" t="s">
        <v>1005</v>
      </c>
      <c r="J31" s="337" t="s">
        <v>1680</v>
      </c>
      <c r="K31" s="335">
        <v>37000</v>
      </c>
      <c r="L31" s="335"/>
      <c r="M31" s="335">
        <v>75000</v>
      </c>
      <c r="N31" s="475">
        <f>O31/M31</f>
        <v>0.11569333333333333</v>
      </c>
      <c r="O31" s="335">
        <f>M31-66323</f>
        <v>8677</v>
      </c>
      <c r="P31" s="335">
        <f t="shared" si="0"/>
        <v>29323</v>
      </c>
      <c r="Q31" s="335">
        <f t="shared" si="4"/>
        <v>0</v>
      </c>
      <c r="R31" s="405">
        <f>P31/K31</f>
        <v>0.79251351351351351</v>
      </c>
      <c r="S31" s="348">
        <v>41613</v>
      </c>
      <c r="T31" s="348">
        <v>41639</v>
      </c>
      <c r="U31" s="353">
        <f>P31/((T31-S31)/7)</f>
        <v>7894.6538461538457</v>
      </c>
    </row>
    <row r="32" spans="2:24" x14ac:dyDescent="0.25">
      <c r="B32" s="226"/>
      <c r="C32" s="242"/>
      <c r="D32" s="304"/>
      <c r="E32" s="307" t="s">
        <v>818</v>
      </c>
      <c r="F32" s="428">
        <f>EconomiaT42!C21</f>
        <v>131600</v>
      </c>
      <c r="G32" s="272">
        <f t="shared" si="5"/>
        <v>2.6786692216611606E-3</v>
      </c>
      <c r="I32" s="187" t="s">
        <v>1005</v>
      </c>
      <c r="J32" s="336" t="s">
        <v>1384</v>
      </c>
      <c r="K32" s="333">
        <v>36000</v>
      </c>
      <c r="L32" s="333">
        <v>1020</v>
      </c>
      <c r="M32" s="333">
        <v>0</v>
      </c>
      <c r="N32" s="476"/>
      <c r="O32" s="333">
        <v>0</v>
      </c>
      <c r="P32" s="343">
        <f t="shared" si="0"/>
        <v>0</v>
      </c>
      <c r="Q32" s="333">
        <f t="shared" si="4"/>
        <v>36000</v>
      </c>
      <c r="R32" s="403"/>
      <c r="S32" s="347">
        <v>41732</v>
      </c>
      <c r="T32" s="347"/>
      <c r="U32" s="344"/>
    </row>
    <row r="33" spans="2:21" x14ac:dyDescent="0.25">
      <c r="B33" s="230"/>
      <c r="C33" s="229"/>
      <c r="D33" s="304"/>
      <c r="E33" s="431" t="s">
        <v>10</v>
      </c>
      <c r="F33" s="432">
        <f>EconomiaT42!C22</f>
        <v>6020</v>
      </c>
      <c r="G33" s="430">
        <f t="shared" si="5"/>
        <v>1.2253486865045733E-4</v>
      </c>
      <c r="I33" s="187" t="s">
        <v>1005</v>
      </c>
      <c r="J33" s="336" t="s">
        <v>1703</v>
      </c>
      <c r="K33" s="333">
        <v>28000</v>
      </c>
      <c r="L33" s="333">
        <v>630</v>
      </c>
      <c r="M33" s="333">
        <v>0</v>
      </c>
      <c r="N33" s="476"/>
      <c r="O33" s="333">
        <v>0</v>
      </c>
      <c r="P33" s="343">
        <f t="shared" si="0"/>
        <v>0</v>
      </c>
      <c r="Q33" s="333">
        <f t="shared" si="4"/>
        <v>28000</v>
      </c>
      <c r="R33" s="403"/>
      <c r="S33" s="347">
        <v>41731</v>
      </c>
      <c r="T33" s="347"/>
      <c r="U33" s="344"/>
    </row>
    <row r="34" spans="2:21" ht="18.75" x14ac:dyDescent="0.3">
      <c r="B34" s="239" t="s">
        <v>291</v>
      </c>
      <c r="C34" s="240">
        <f>C22+C17+C11+C6+C29</f>
        <v>49128873</v>
      </c>
      <c r="D34" s="43">
        <f>C34/$C$34</f>
        <v>1</v>
      </c>
      <c r="E34" s="366" t="s">
        <v>291</v>
      </c>
      <c r="F34" s="367">
        <f>F27+F19+F11+F6+F23</f>
        <v>49128873</v>
      </c>
      <c r="G34" s="43">
        <f>F34/$F$34</f>
        <v>1</v>
      </c>
      <c r="I34" s="187" t="s">
        <v>1005</v>
      </c>
      <c r="J34" s="336" t="s">
        <v>1697</v>
      </c>
      <c r="K34" s="333">
        <v>25000</v>
      </c>
      <c r="L34" s="333">
        <v>708</v>
      </c>
      <c r="M34" s="333">
        <v>0</v>
      </c>
      <c r="N34" s="476"/>
      <c r="O34" s="333">
        <v>0</v>
      </c>
      <c r="P34" s="343">
        <f t="shared" si="0"/>
        <v>0</v>
      </c>
      <c r="Q34" s="333">
        <f t="shared" si="4"/>
        <v>25000</v>
      </c>
      <c r="R34" s="403"/>
      <c r="S34" s="347">
        <v>41722</v>
      </c>
      <c r="T34" s="347"/>
      <c r="U34" s="344"/>
    </row>
    <row r="35" spans="2:21" x14ac:dyDescent="0.25">
      <c r="F35" s="417">
        <f>F34-C34</f>
        <v>0</v>
      </c>
      <c r="I35" s="187" t="s">
        <v>1005</v>
      </c>
      <c r="J35" s="336" t="s">
        <v>1702</v>
      </c>
      <c r="K35" s="333">
        <v>25000</v>
      </c>
      <c r="L35" s="333">
        <v>492</v>
      </c>
      <c r="M35" s="333">
        <v>0</v>
      </c>
      <c r="N35" s="476"/>
      <c r="O35" s="333">
        <v>0</v>
      </c>
      <c r="P35" s="343">
        <f t="shared" si="0"/>
        <v>0</v>
      </c>
      <c r="Q35" s="333">
        <f t="shared" si="4"/>
        <v>25000</v>
      </c>
      <c r="R35" s="403"/>
      <c r="S35" s="347">
        <v>41729</v>
      </c>
      <c r="T35" s="347"/>
      <c r="U35" s="344"/>
    </row>
    <row r="36" spans="2:21" x14ac:dyDescent="0.25">
      <c r="I36" s="187" t="s">
        <v>1005</v>
      </c>
      <c r="J36" s="336" t="s">
        <v>1704</v>
      </c>
      <c r="K36" s="333">
        <v>5000</v>
      </c>
      <c r="L36" s="333">
        <v>612</v>
      </c>
      <c r="M36" s="333">
        <v>0</v>
      </c>
      <c r="N36" s="476"/>
      <c r="O36" s="333">
        <v>0</v>
      </c>
      <c r="P36" s="343">
        <f t="shared" si="0"/>
        <v>0</v>
      </c>
      <c r="Q36" s="333">
        <f t="shared" si="4"/>
        <v>5000</v>
      </c>
      <c r="R36" s="403"/>
      <c r="S36" s="347">
        <v>41732</v>
      </c>
      <c r="T36" s="347"/>
      <c r="U36" s="344"/>
    </row>
    <row r="37" spans="2:21" x14ac:dyDescent="0.25">
      <c r="I37" s="187" t="s">
        <v>1005</v>
      </c>
      <c r="J37" s="336" t="s">
        <v>1699</v>
      </c>
      <c r="K37" s="333">
        <v>3000</v>
      </c>
      <c r="L37" s="333">
        <v>444</v>
      </c>
      <c r="M37" s="333">
        <v>0</v>
      </c>
      <c r="N37" s="476"/>
      <c r="O37" s="333">
        <v>0</v>
      </c>
      <c r="P37" s="343">
        <f t="shared" si="0"/>
        <v>0</v>
      </c>
      <c r="Q37" s="333">
        <f t="shared" si="4"/>
        <v>3000</v>
      </c>
      <c r="R37" s="403"/>
      <c r="S37" s="347">
        <v>41722</v>
      </c>
      <c r="T37" s="347"/>
      <c r="U37" s="344"/>
    </row>
    <row r="38" spans="2:21" x14ac:dyDescent="0.25">
      <c r="H38" s="225"/>
      <c r="I38" s="187" t="s">
        <v>1005</v>
      </c>
      <c r="J38" s="336" t="s">
        <v>1700</v>
      </c>
      <c r="K38" s="333">
        <v>1000</v>
      </c>
      <c r="L38" s="333">
        <v>564</v>
      </c>
      <c r="M38" s="333">
        <v>0</v>
      </c>
      <c r="N38" s="476"/>
      <c r="O38" s="333">
        <v>0</v>
      </c>
      <c r="P38" s="343">
        <f t="shared" si="0"/>
        <v>0</v>
      </c>
      <c r="Q38" s="333">
        <f t="shared" si="4"/>
        <v>1000</v>
      </c>
      <c r="R38" s="403"/>
      <c r="S38" s="347">
        <v>41722</v>
      </c>
      <c r="T38" s="347"/>
      <c r="U38" s="344"/>
    </row>
    <row r="39" spans="2:21" x14ac:dyDescent="0.25">
      <c r="I39" s="187" t="s">
        <v>1003</v>
      </c>
      <c r="J39" s="336" t="s">
        <v>1017</v>
      </c>
      <c r="K39" s="333">
        <v>0</v>
      </c>
      <c r="L39" s="333"/>
      <c r="M39" s="333">
        <v>0</v>
      </c>
      <c r="N39" s="476"/>
      <c r="O39" s="333">
        <v>0</v>
      </c>
      <c r="P39" s="343">
        <f t="shared" si="0"/>
        <v>0</v>
      </c>
      <c r="Q39" s="333">
        <f t="shared" si="4"/>
        <v>0</v>
      </c>
      <c r="R39" s="403"/>
      <c r="S39" s="347">
        <v>40993</v>
      </c>
      <c r="T39" s="347"/>
      <c r="U39" s="344"/>
    </row>
    <row r="40" spans="2:21" x14ac:dyDescent="0.25">
      <c r="C40" s="129"/>
      <c r="E40" s="30"/>
      <c r="I40" s="334" t="s">
        <v>1003</v>
      </c>
      <c r="J40" s="337" t="s">
        <v>1688</v>
      </c>
      <c r="K40" s="335">
        <v>0</v>
      </c>
      <c r="L40" s="335"/>
      <c r="M40" s="335">
        <v>25000</v>
      </c>
      <c r="N40" s="475">
        <f>O40/M40</f>
        <v>0.05</v>
      </c>
      <c r="O40" s="335">
        <f>1250</f>
        <v>1250</v>
      </c>
      <c r="P40" s="335">
        <f t="shared" si="0"/>
        <v>23750</v>
      </c>
      <c r="Q40" s="335">
        <f t="shared" si="4"/>
        <v>0</v>
      </c>
      <c r="R40" s="405" t="s">
        <v>1327</v>
      </c>
      <c r="S40" s="348">
        <v>41624</v>
      </c>
      <c r="T40" s="348">
        <v>41636</v>
      </c>
      <c r="U40" s="353">
        <f>P40</f>
        <v>23750</v>
      </c>
    </row>
    <row r="41" spans="2:21" x14ac:dyDescent="0.25">
      <c r="E41" s="30"/>
      <c r="I41" s="334" t="s">
        <v>1003</v>
      </c>
      <c r="J41" s="337" t="s">
        <v>1693</v>
      </c>
      <c r="K41" s="335">
        <v>0</v>
      </c>
      <c r="L41" s="335">
        <v>0</v>
      </c>
      <c r="M41" s="335">
        <v>1000</v>
      </c>
      <c r="N41" s="475">
        <f>O41/M41</f>
        <v>0.05</v>
      </c>
      <c r="O41" s="335">
        <v>50</v>
      </c>
      <c r="P41" s="335">
        <f t="shared" si="0"/>
        <v>950</v>
      </c>
      <c r="Q41" s="335">
        <f t="shared" si="4"/>
        <v>0</v>
      </c>
      <c r="R41" s="405" t="s">
        <v>1327</v>
      </c>
      <c r="S41" s="348">
        <v>41677</v>
      </c>
      <c r="T41" s="348">
        <f>S41+3</f>
        <v>41680</v>
      </c>
      <c r="U41" s="353">
        <f>P41</f>
        <v>950</v>
      </c>
    </row>
    <row r="42" spans="2:21" x14ac:dyDescent="0.25">
      <c r="I42" s="334" t="s">
        <v>1003</v>
      </c>
      <c r="J42" s="337" t="s">
        <v>1694</v>
      </c>
      <c r="K42" s="335">
        <v>0</v>
      </c>
      <c r="L42" s="335">
        <v>0</v>
      </c>
      <c r="M42" s="335">
        <v>89250</v>
      </c>
      <c r="N42" s="475">
        <f>O42/M42</f>
        <v>4.9994397759103644E-2</v>
      </c>
      <c r="O42" s="335">
        <f>M42-84788</f>
        <v>4462</v>
      </c>
      <c r="P42" s="335">
        <f t="shared" si="0"/>
        <v>84788</v>
      </c>
      <c r="Q42" s="335">
        <f t="shared" si="4"/>
        <v>0</v>
      </c>
      <c r="R42" s="405" t="s">
        <v>1327</v>
      </c>
      <c r="S42" s="348">
        <v>41681</v>
      </c>
      <c r="T42" s="348">
        <f>S42+3</f>
        <v>41684</v>
      </c>
      <c r="U42" s="353">
        <f>P42</f>
        <v>84788</v>
      </c>
    </row>
    <row r="43" spans="2:21" ht="14.25" customHeight="1" x14ac:dyDescent="0.25">
      <c r="I43" s="334" t="s">
        <v>1003</v>
      </c>
      <c r="J43" s="337" t="s">
        <v>1707</v>
      </c>
      <c r="K43" s="335">
        <v>0</v>
      </c>
      <c r="L43" s="335">
        <v>0</v>
      </c>
      <c r="M43" s="335">
        <v>182000</v>
      </c>
      <c r="N43" s="475">
        <f>O43/M43</f>
        <v>0.05</v>
      </c>
      <c r="O43" s="335">
        <f>M43-172900</f>
        <v>9100</v>
      </c>
      <c r="P43" s="335">
        <f t="shared" ref="P43:P44" si="6">IF(M43=0,0,M43-K43)-O43</f>
        <v>172900</v>
      </c>
      <c r="Q43" s="335">
        <f t="shared" ref="Q43:Q44" si="7">IF(M43=0,K43,0)</f>
        <v>0</v>
      </c>
      <c r="R43" s="405" t="s">
        <v>1327</v>
      </c>
      <c r="S43" s="348">
        <v>41734</v>
      </c>
      <c r="T43" s="348">
        <v>41737</v>
      </c>
      <c r="U43" s="353">
        <f>P43</f>
        <v>172900</v>
      </c>
    </row>
    <row r="44" spans="2:21" s="2" customFormat="1" x14ac:dyDescent="0.25">
      <c r="B44" s="212"/>
      <c r="C44" s="212"/>
      <c r="D44" s="212"/>
      <c r="F44" s="212"/>
      <c r="G44" s="212"/>
      <c r="I44" s="187" t="s">
        <v>1005</v>
      </c>
      <c r="J44" s="336" t="s">
        <v>1714</v>
      </c>
      <c r="K44" s="333">
        <v>29000</v>
      </c>
      <c r="L44" s="333">
        <v>780</v>
      </c>
      <c r="M44" s="333">
        <v>0</v>
      </c>
      <c r="N44" s="333"/>
      <c r="O44" s="333">
        <v>0</v>
      </c>
      <c r="P44" s="343">
        <f t="shared" si="6"/>
        <v>0</v>
      </c>
      <c r="Q44" s="333">
        <f t="shared" si="7"/>
        <v>29000</v>
      </c>
      <c r="R44" s="403"/>
      <c r="S44" s="347">
        <v>41737</v>
      </c>
      <c r="T44" s="347"/>
      <c r="U44" s="344"/>
    </row>
    <row r="45" spans="2:21" x14ac:dyDescent="0.25">
      <c r="I45" s="187" t="s">
        <v>1005</v>
      </c>
      <c r="J45" s="336" t="s">
        <v>1715</v>
      </c>
      <c r="K45" s="333">
        <v>40000</v>
      </c>
      <c r="L45" s="333">
        <v>708</v>
      </c>
      <c r="M45" s="333">
        <v>0</v>
      </c>
      <c r="N45" s="333"/>
      <c r="O45" s="333">
        <v>0</v>
      </c>
      <c r="P45" s="343">
        <f t="shared" ref="P45" si="8">IF(M45=0,0,M45-K45)-O45</f>
        <v>0</v>
      </c>
      <c r="Q45" s="333">
        <f t="shared" ref="Q45" si="9">IF(M45=0,K45,0)</f>
        <v>40000</v>
      </c>
      <c r="R45" s="403"/>
      <c r="S45" s="347">
        <v>41737</v>
      </c>
      <c r="T45" s="347"/>
      <c r="U45" s="344"/>
    </row>
    <row r="46" spans="2:21" x14ac:dyDescent="0.25">
      <c r="I46" s="187" t="s">
        <v>1005</v>
      </c>
      <c r="J46" s="336" t="s">
        <v>1717</v>
      </c>
      <c r="K46" s="333">
        <v>30000</v>
      </c>
      <c r="L46" s="333">
        <v>996</v>
      </c>
      <c r="M46" s="333">
        <v>0</v>
      </c>
      <c r="N46" s="333"/>
      <c r="O46" s="333">
        <v>0</v>
      </c>
      <c r="P46" s="343">
        <f t="shared" ref="P46" si="10">IF(M46=0,0,M46-K46)-O46</f>
        <v>0</v>
      </c>
      <c r="Q46" s="333">
        <f t="shared" ref="Q46" si="11">IF(M46=0,K46,0)</f>
        <v>30000</v>
      </c>
      <c r="R46" s="403"/>
      <c r="S46" s="347">
        <v>41738</v>
      </c>
      <c r="T46" s="347"/>
      <c r="U46" s="344"/>
    </row>
    <row r="47" spans="2:21" x14ac:dyDescent="0.25">
      <c r="E47" s="225"/>
      <c r="I47" s="187" t="s">
        <v>1005</v>
      </c>
      <c r="J47" s="336" t="s">
        <v>1716</v>
      </c>
      <c r="K47" s="333">
        <v>31000</v>
      </c>
      <c r="L47" s="333">
        <v>876</v>
      </c>
      <c r="M47" s="333">
        <v>0</v>
      </c>
      <c r="N47" s="333"/>
      <c r="O47" s="333">
        <v>0</v>
      </c>
      <c r="P47" s="343">
        <f t="shared" ref="P47" si="12">IF(M47=0,0,M47-K47)-O47</f>
        <v>0</v>
      </c>
      <c r="Q47" s="333">
        <f t="shared" ref="Q47" si="13">IF(M47=0,K47,0)</f>
        <v>31000</v>
      </c>
      <c r="R47" s="403"/>
      <c r="S47" s="347">
        <v>41736</v>
      </c>
      <c r="T47" s="347"/>
      <c r="U47" s="344"/>
    </row>
    <row r="48" spans="2:21" x14ac:dyDescent="0.25">
      <c r="I48" s="187" t="s">
        <v>1005</v>
      </c>
      <c r="J48" s="336" t="s">
        <v>1723</v>
      </c>
      <c r="K48" s="333">
        <v>30000</v>
      </c>
      <c r="L48" s="333">
        <v>730</v>
      </c>
      <c r="M48" s="333">
        <v>0</v>
      </c>
      <c r="N48" s="333"/>
      <c r="O48" s="333">
        <v>0</v>
      </c>
      <c r="P48" s="343">
        <f t="shared" ref="P48:P50" si="14">IF(M48=0,0,M48-K48)-O48</f>
        <v>0</v>
      </c>
      <c r="Q48" s="333">
        <f t="shared" ref="Q48:Q50" si="15">IF(M48=0,K48,0)</f>
        <v>30000</v>
      </c>
      <c r="R48" s="403"/>
      <c r="S48" s="347">
        <v>41738</v>
      </c>
      <c r="T48" s="347"/>
      <c r="U48" s="344"/>
    </row>
    <row r="49" spans="9:21" x14ac:dyDescent="0.25">
      <c r="I49" s="187" t="s">
        <v>1005</v>
      </c>
      <c r="J49" s="336" t="s">
        <v>1724</v>
      </c>
      <c r="K49" s="333">
        <v>15000</v>
      </c>
      <c r="L49" s="333">
        <v>780</v>
      </c>
      <c r="M49" s="333">
        <v>0</v>
      </c>
      <c r="N49" s="333"/>
      <c r="O49" s="333">
        <v>0</v>
      </c>
      <c r="P49" s="343">
        <f t="shared" si="14"/>
        <v>0</v>
      </c>
      <c r="Q49" s="333">
        <f t="shared" si="15"/>
        <v>15000</v>
      </c>
      <c r="R49" s="403"/>
      <c r="S49" s="347">
        <v>41738</v>
      </c>
      <c r="T49" s="347"/>
      <c r="U49" s="344"/>
    </row>
    <row r="50" spans="9:21" x14ac:dyDescent="0.25">
      <c r="I50" s="187" t="s">
        <v>1005</v>
      </c>
      <c r="J50" s="336" t="s">
        <v>1725</v>
      </c>
      <c r="K50" s="333">
        <v>33000</v>
      </c>
      <c r="L50" s="333">
        <v>612</v>
      </c>
      <c r="M50" s="333">
        <v>0</v>
      </c>
      <c r="N50" s="333"/>
      <c r="O50" s="333">
        <v>0</v>
      </c>
      <c r="P50" s="343">
        <f t="shared" si="14"/>
        <v>0</v>
      </c>
      <c r="Q50" s="333">
        <f t="shared" si="15"/>
        <v>33000</v>
      </c>
      <c r="R50" s="403"/>
      <c r="S50" s="347">
        <v>41739</v>
      </c>
      <c r="T50" s="347"/>
      <c r="U50" s="344"/>
    </row>
  </sheetData>
  <autoFilter ref="I3:U50"/>
  <sortState ref="I4:T42">
    <sortCondition descending="1" ref="K4:K42"/>
  </sortState>
  <mergeCells count="4">
    <mergeCell ref="B2:G2"/>
    <mergeCell ref="B3:G3"/>
    <mergeCell ref="B4:C4"/>
    <mergeCell ref="E4:F4"/>
  </mergeCells>
  <conditionalFormatting sqref="F12:F17 U4:U20 P4:P43 R4:R43">
    <cfRule type="cellIs" dxfId="1748" priority="303" operator="lessThan">
      <formula>0</formula>
    </cfRule>
    <cfRule type="cellIs" dxfId="1747" priority="304" operator="greaterThan">
      <formula>0</formula>
    </cfRule>
  </conditionalFormatting>
  <conditionalFormatting sqref="U21">
    <cfRule type="cellIs" dxfId="1746" priority="215" operator="lessThan">
      <formula>0</formula>
    </cfRule>
    <cfRule type="cellIs" dxfId="1745" priority="216" operator="greaterThan">
      <formula>0</formula>
    </cfRule>
  </conditionalFormatting>
  <conditionalFormatting sqref="U22">
    <cfRule type="cellIs" dxfId="1744" priority="203" operator="lessThan">
      <formula>0</formula>
    </cfRule>
    <cfRule type="cellIs" dxfId="1743" priority="204" operator="greaterThan">
      <formula>0</formula>
    </cfRule>
  </conditionalFormatting>
  <conditionalFormatting sqref="U23">
    <cfRule type="cellIs" dxfId="1742" priority="201" operator="lessThan">
      <formula>0</formula>
    </cfRule>
    <cfRule type="cellIs" dxfId="1741" priority="202" operator="greaterThan">
      <formula>0</formula>
    </cfRule>
  </conditionalFormatting>
  <conditionalFormatting sqref="U24">
    <cfRule type="cellIs" dxfId="1740" priority="199" operator="lessThan">
      <formula>0</formula>
    </cfRule>
    <cfRule type="cellIs" dxfId="1739" priority="200" operator="greaterThan">
      <formula>0</formula>
    </cfRule>
  </conditionalFormatting>
  <conditionalFormatting sqref="U25">
    <cfRule type="cellIs" dxfId="1738" priority="137" operator="lessThan">
      <formula>0</formula>
    </cfRule>
    <cfRule type="cellIs" dxfId="1737" priority="138" operator="greaterThan">
      <formula>0</formula>
    </cfRule>
  </conditionalFormatting>
  <conditionalFormatting sqref="U26">
    <cfRule type="cellIs" dxfId="1736" priority="135" operator="lessThan">
      <formula>0</formula>
    </cfRule>
    <cfRule type="cellIs" dxfId="1735" priority="136" operator="greaterThan">
      <formula>0</formula>
    </cfRule>
  </conditionalFormatting>
  <conditionalFormatting sqref="U24">
    <cfRule type="cellIs" dxfId="1734" priority="133" operator="lessThan">
      <formula>0</formula>
    </cfRule>
    <cfRule type="cellIs" dxfId="1733" priority="134" operator="greaterThan">
      <formula>0</formula>
    </cfRule>
  </conditionalFormatting>
  <conditionalFormatting sqref="U24">
    <cfRule type="cellIs" dxfId="1732" priority="131" operator="lessThan">
      <formula>0</formula>
    </cfRule>
    <cfRule type="cellIs" dxfId="1731" priority="132" operator="greaterThan">
      <formula>0</formula>
    </cfRule>
  </conditionalFormatting>
  <conditionalFormatting sqref="U24">
    <cfRule type="cellIs" dxfId="1730" priority="129" operator="lessThan">
      <formula>0</formula>
    </cfRule>
    <cfRule type="cellIs" dxfId="1729" priority="130" operator="greaterThan">
      <formula>0</formula>
    </cfRule>
  </conditionalFormatting>
  <conditionalFormatting sqref="U24">
    <cfRule type="cellIs" dxfId="1728" priority="127" operator="lessThan">
      <formula>0</formula>
    </cfRule>
    <cfRule type="cellIs" dxfId="1727" priority="128" operator="greaterThan">
      <formula>0</formula>
    </cfRule>
  </conditionalFormatting>
  <conditionalFormatting sqref="U27">
    <cfRule type="cellIs" dxfId="1726" priority="125" operator="lessThan">
      <formula>0</formula>
    </cfRule>
    <cfRule type="cellIs" dxfId="1725" priority="126" operator="greaterThan">
      <formula>0</formula>
    </cfRule>
  </conditionalFormatting>
  <conditionalFormatting sqref="U27">
    <cfRule type="cellIs" dxfId="1724" priority="123" operator="lessThan">
      <formula>0</formula>
    </cfRule>
    <cfRule type="cellIs" dxfId="1723" priority="124" operator="greaterThan">
      <formula>0</formula>
    </cfRule>
  </conditionalFormatting>
  <conditionalFormatting sqref="U27">
    <cfRule type="cellIs" dxfId="1722" priority="121" operator="lessThan">
      <formula>0</formula>
    </cfRule>
    <cfRule type="cellIs" dxfId="1721" priority="122" operator="greaterThan">
      <formula>0</formula>
    </cfRule>
  </conditionalFormatting>
  <conditionalFormatting sqref="U27">
    <cfRule type="cellIs" dxfId="1720" priority="119" operator="lessThan">
      <formula>0</formula>
    </cfRule>
    <cfRule type="cellIs" dxfId="1719" priority="120" operator="greaterThan">
      <formula>0</formula>
    </cfRule>
  </conditionalFormatting>
  <conditionalFormatting sqref="U27">
    <cfRule type="cellIs" dxfId="1718" priority="117" operator="lessThan">
      <formula>0</formula>
    </cfRule>
    <cfRule type="cellIs" dxfId="1717" priority="118" operator="greaterThan">
      <formula>0</formula>
    </cfRule>
  </conditionalFormatting>
  <conditionalFormatting sqref="U27">
    <cfRule type="cellIs" dxfId="1716" priority="115" operator="lessThan">
      <formula>0</formula>
    </cfRule>
    <cfRule type="cellIs" dxfId="1715" priority="116" operator="greaterThan">
      <formula>0</formula>
    </cfRule>
  </conditionalFormatting>
  <conditionalFormatting sqref="U7">
    <cfRule type="cellIs" dxfId="1714" priority="113" operator="lessThan">
      <formula>0</formula>
    </cfRule>
    <cfRule type="cellIs" dxfId="1713" priority="114" operator="greaterThan">
      <formula>0</formula>
    </cfRule>
  </conditionalFormatting>
  <conditionalFormatting sqref="U7">
    <cfRule type="cellIs" dxfId="1712" priority="111" operator="lessThan">
      <formula>0</formula>
    </cfRule>
    <cfRule type="cellIs" dxfId="1711" priority="112" operator="greaterThan">
      <formula>0</formula>
    </cfRule>
  </conditionalFormatting>
  <conditionalFormatting sqref="U7">
    <cfRule type="cellIs" dxfId="1710" priority="109" operator="lessThan">
      <formula>0</formula>
    </cfRule>
    <cfRule type="cellIs" dxfId="1709" priority="110" operator="greaterThan">
      <formula>0</formula>
    </cfRule>
  </conditionalFormatting>
  <conditionalFormatting sqref="U7">
    <cfRule type="cellIs" dxfId="1708" priority="107" operator="lessThan">
      <formula>0</formula>
    </cfRule>
    <cfRule type="cellIs" dxfId="1707" priority="108" operator="greaterThan">
      <formula>0</formula>
    </cfRule>
  </conditionalFormatting>
  <conditionalFormatting sqref="U7">
    <cfRule type="cellIs" dxfId="1706" priority="105" operator="lessThan">
      <formula>0</formula>
    </cfRule>
    <cfRule type="cellIs" dxfId="1705" priority="106" operator="greaterThan">
      <formula>0</formula>
    </cfRule>
  </conditionalFormatting>
  <conditionalFormatting sqref="U12">
    <cfRule type="cellIs" dxfId="1704" priority="103" operator="lessThan">
      <formula>0</formula>
    </cfRule>
    <cfRule type="cellIs" dxfId="1703" priority="104" operator="greaterThan">
      <formula>0</formula>
    </cfRule>
  </conditionalFormatting>
  <conditionalFormatting sqref="U12">
    <cfRule type="cellIs" dxfId="1702" priority="101" operator="lessThan">
      <formula>0</formula>
    </cfRule>
    <cfRule type="cellIs" dxfId="1701" priority="102" operator="greaterThan">
      <formula>0</formula>
    </cfRule>
  </conditionalFormatting>
  <conditionalFormatting sqref="U12">
    <cfRule type="cellIs" dxfId="1700" priority="99" operator="lessThan">
      <formula>0</formula>
    </cfRule>
    <cfRule type="cellIs" dxfId="1699" priority="100" operator="greaterThan">
      <formula>0</formula>
    </cfRule>
  </conditionalFormatting>
  <conditionalFormatting sqref="U12">
    <cfRule type="cellIs" dxfId="1698" priority="97" operator="lessThan">
      <formula>0</formula>
    </cfRule>
    <cfRule type="cellIs" dxfId="1697" priority="98" operator="greaterThan">
      <formula>0</formula>
    </cfRule>
  </conditionalFormatting>
  <conditionalFormatting sqref="U12">
    <cfRule type="cellIs" dxfId="1696" priority="95" operator="lessThan">
      <formula>0</formula>
    </cfRule>
    <cfRule type="cellIs" dxfId="1695" priority="96" operator="greaterThan">
      <formula>0</formula>
    </cfRule>
  </conditionalFormatting>
  <conditionalFormatting sqref="U28">
    <cfRule type="cellIs" dxfId="1694" priority="93" operator="lessThan">
      <formula>0</formula>
    </cfRule>
    <cfRule type="cellIs" dxfId="1693" priority="94" operator="greaterThan">
      <formula>0</formula>
    </cfRule>
  </conditionalFormatting>
  <conditionalFormatting sqref="U29">
    <cfRule type="cellIs" dxfId="1692" priority="91" operator="lessThan">
      <formula>0</formula>
    </cfRule>
    <cfRule type="cellIs" dxfId="1691" priority="92" operator="greaterThan">
      <formula>0</formula>
    </cfRule>
  </conditionalFormatting>
  <conditionalFormatting sqref="U23">
    <cfRule type="cellIs" dxfId="1690" priority="89" operator="lessThan">
      <formula>0</formula>
    </cfRule>
    <cfRule type="cellIs" dxfId="1689" priority="90" operator="greaterThan">
      <formula>0</formula>
    </cfRule>
  </conditionalFormatting>
  <conditionalFormatting sqref="U23">
    <cfRule type="cellIs" dxfId="1688" priority="87" operator="lessThan">
      <formula>0</formula>
    </cfRule>
    <cfRule type="cellIs" dxfId="1687" priority="88" operator="greaterThan">
      <formula>0</formula>
    </cfRule>
  </conditionalFormatting>
  <conditionalFormatting sqref="U23">
    <cfRule type="cellIs" dxfId="1686" priority="85" operator="lessThan">
      <formula>0</formula>
    </cfRule>
    <cfRule type="cellIs" dxfId="1685" priority="86" operator="greaterThan">
      <formula>0</formula>
    </cfRule>
  </conditionalFormatting>
  <conditionalFormatting sqref="U23">
    <cfRule type="cellIs" dxfId="1684" priority="83" operator="lessThan">
      <formula>0</formula>
    </cfRule>
    <cfRule type="cellIs" dxfId="1683" priority="84" operator="greaterThan">
      <formula>0</formula>
    </cfRule>
  </conditionalFormatting>
  <conditionalFormatting sqref="U23">
    <cfRule type="cellIs" dxfId="1682" priority="81" operator="lessThan">
      <formula>0</formula>
    </cfRule>
    <cfRule type="cellIs" dxfId="1681" priority="82" operator="greaterThan">
      <formula>0</formula>
    </cfRule>
  </conditionalFormatting>
  <conditionalFormatting sqref="U14">
    <cfRule type="cellIs" dxfId="1680" priority="79" operator="lessThan">
      <formula>0</formula>
    </cfRule>
    <cfRule type="cellIs" dxfId="1679" priority="80" operator="greaterThan">
      <formula>0</formula>
    </cfRule>
  </conditionalFormatting>
  <conditionalFormatting sqref="U14">
    <cfRule type="cellIs" dxfId="1678" priority="77" operator="lessThan">
      <formula>0</formula>
    </cfRule>
    <cfRule type="cellIs" dxfId="1677" priority="78" operator="greaterThan">
      <formula>0</formula>
    </cfRule>
  </conditionalFormatting>
  <conditionalFormatting sqref="U14">
    <cfRule type="cellIs" dxfId="1676" priority="75" operator="lessThan">
      <formula>0</formula>
    </cfRule>
    <cfRule type="cellIs" dxfId="1675" priority="76" operator="greaterThan">
      <formula>0</formula>
    </cfRule>
  </conditionalFormatting>
  <conditionalFormatting sqref="U14">
    <cfRule type="cellIs" dxfId="1674" priority="73" operator="lessThan">
      <formula>0</formula>
    </cfRule>
    <cfRule type="cellIs" dxfId="1673" priority="74" operator="greaterThan">
      <formula>0</formula>
    </cfRule>
  </conditionalFormatting>
  <conditionalFormatting sqref="U14">
    <cfRule type="cellIs" dxfId="1672" priority="71" operator="lessThan">
      <formula>0</formula>
    </cfRule>
    <cfRule type="cellIs" dxfId="1671" priority="72" operator="greaterThan">
      <formula>0</formula>
    </cfRule>
  </conditionalFormatting>
  <conditionalFormatting sqref="U14">
    <cfRule type="cellIs" dxfId="1670" priority="69" operator="lessThan">
      <formula>0</formula>
    </cfRule>
    <cfRule type="cellIs" dxfId="1669" priority="70" operator="greaterThan">
      <formula>0</formula>
    </cfRule>
  </conditionalFormatting>
  <conditionalFormatting sqref="U30">
    <cfRule type="cellIs" dxfId="1668" priority="67" operator="lessThan">
      <formula>0</formula>
    </cfRule>
    <cfRule type="cellIs" dxfId="1667" priority="68" operator="greaterThan">
      <formula>0</formula>
    </cfRule>
  </conditionalFormatting>
  <conditionalFormatting sqref="U31">
    <cfRule type="cellIs" dxfId="1666" priority="65" operator="lessThan">
      <formula>0</formula>
    </cfRule>
    <cfRule type="cellIs" dxfId="1665" priority="66" operator="greaterThan">
      <formula>0</formula>
    </cfRule>
  </conditionalFormatting>
  <conditionalFormatting sqref="U32">
    <cfRule type="cellIs" dxfId="1664" priority="63" operator="lessThan">
      <formula>0</formula>
    </cfRule>
    <cfRule type="cellIs" dxfId="1663" priority="64" operator="greaterThan">
      <formula>0</formula>
    </cfRule>
  </conditionalFormatting>
  <conditionalFormatting sqref="U33">
    <cfRule type="cellIs" dxfId="1662" priority="61" operator="lessThan">
      <formula>0</formula>
    </cfRule>
    <cfRule type="cellIs" dxfId="1661" priority="62" operator="greaterThan">
      <formula>0</formula>
    </cfRule>
  </conditionalFormatting>
  <conditionalFormatting sqref="U34">
    <cfRule type="cellIs" dxfId="1660" priority="59" operator="lessThan">
      <formula>0</formula>
    </cfRule>
    <cfRule type="cellIs" dxfId="1659" priority="60" operator="greaterThan">
      <formula>0</formula>
    </cfRule>
  </conditionalFormatting>
  <conditionalFormatting sqref="U35">
    <cfRule type="cellIs" dxfId="1658" priority="57" operator="lessThan">
      <formula>0</formula>
    </cfRule>
    <cfRule type="cellIs" dxfId="1657" priority="58" operator="greaterThan">
      <formula>0</formula>
    </cfRule>
  </conditionalFormatting>
  <conditionalFormatting sqref="U36">
    <cfRule type="cellIs" dxfId="1656" priority="55" operator="lessThan">
      <formula>0</formula>
    </cfRule>
    <cfRule type="cellIs" dxfId="1655" priority="56" operator="greaterThan">
      <formula>0</formula>
    </cfRule>
  </conditionalFormatting>
  <conditionalFormatting sqref="U37">
    <cfRule type="cellIs" dxfId="1654" priority="53" operator="lessThan">
      <formula>0</formula>
    </cfRule>
    <cfRule type="cellIs" dxfId="1653" priority="54" operator="greaterThan">
      <formula>0</formula>
    </cfRule>
  </conditionalFormatting>
  <conditionalFormatting sqref="U38">
    <cfRule type="cellIs" dxfId="1652" priority="51" operator="lessThan">
      <formula>0</formula>
    </cfRule>
    <cfRule type="cellIs" dxfId="1651" priority="52" operator="greaterThan">
      <formula>0</formula>
    </cfRule>
  </conditionalFormatting>
  <conditionalFormatting sqref="U39">
    <cfRule type="cellIs" dxfId="1650" priority="49" operator="lessThan">
      <formula>0</formula>
    </cfRule>
    <cfRule type="cellIs" dxfId="1649" priority="50" operator="greaterThan">
      <formula>0</formula>
    </cfRule>
  </conditionalFormatting>
  <conditionalFormatting sqref="U40">
    <cfRule type="cellIs" dxfId="1648" priority="47" operator="lessThan">
      <formula>0</formula>
    </cfRule>
    <cfRule type="cellIs" dxfId="1647" priority="48" operator="greaterThan">
      <formula>0</formula>
    </cfRule>
  </conditionalFormatting>
  <conditionalFormatting sqref="U41">
    <cfRule type="cellIs" dxfId="1646" priority="45" operator="lessThan">
      <formula>0</formula>
    </cfRule>
    <cfRule type="cellIs" dxfId="1645" priority="46" operator="greaterThan">
      <formula>0</formula>
    </cfRule>
  </conditionalFormatting>
  <conditionalFormatting sqref="U42">
    <cfRule type="cellIs" dxfId="1644" priority="43" operator="lessThan">
      <formula>0</formula>
    </cfRule>
    <cfRule type="cellIs" dxfId="1643" priority="44" operator="greaterThan">
      <formula>0</formula>
    </cfRule>
  </conditionalFormatting>
  <conditionalFormatting sqref="U43">
    <cfRule type="cellIs" dxfId="1642" priority="41" operator="lessThan">
      <formula>0</formula>
    </cfRule>
    <cfRule type="cellIs" dxfId="1641" priority="42" operator="greaterThan">
      <formula>0</formula>
    </cfRule>
  </conditionalFormatting>
  <conditionalFormatting sqref="U43">
    <cfRule type="cellIs" dxfId="1640" priority="39" operator="lessThan">
      <formula>0</formula>
    </cfRule>
    <cfRule type="cellIs" dxfId="1639" priority="40" operator="greaterThan">
      <formula>0</formula>
    </cfRule>
  </conditionalFormatting>
  <conditionalFormatting sqref="U42">
    <cfRule type="cellIs" dxfId="1638" priority="37" operator="lessThan">
      <formula>0</formula>
    </cfRule>
    <cfRule type="cellIs" dxfId="1637" priority="38" operator="greaterThan">
      <formula>0</formula>
    </cfRule>
  </conditionalFormatting>
  <conditionalFormatting sqref="U42">
    <cfRule type="cellIs" dxfId="1636" priority="35" operator="lessThan">
      <formula>0</formula>
    </cfRule>
    <cfRule type="cellIs" dxfId="1635" priority="36" operator="greaterThan">
      <formula>0</formula>
    </cfRule>
  </conditionalFormatting>
  <conditionalFormatting sqref="U41">
    <cfRule type="cellIs" dxfId="1634" priority="33" operator="lessThan">
      <formula>0</formula>
    </cfRule>
    <cfRule type="cellIs" dxfId="1633" priority="34" operator="greaterThan">
      <formula>0</formula>
    </cfRule>
  </conditionalFormatting>
  <conditionalFormatting sqref="U41">
    <cfRule type="cellIs" dxfId="1632" priority="31" operator="lessThan">
      <formula>0</formula>
    </cfRule>
    <cfRule type="cellIs" dxfId="1631" priority="32" operator="greaterThan">
      <formula>0</formula>
    </cfRule>
  </conditionalFormatting>
  <conditionalFormatting sqref="P44 R44">
    <cfRule type="cellIs" dxfId="1630" priority="29" operator="lessThan">
      <formula>0</formula>
    </cfRule>
    <cfRule type="cellIs" dxfId="1629" priority="30" operator="greaterThan">
      <formula>0</formula>
    </cfRule>
  </conditionalFormatting>
  <conditionalFormatting sqref="U44">
    <cfRule type="cellIs" dxfId="1628" priority="27" operator="lessThan">
      <formula>0</formula>
    </cfRule>
    <cfRule type="cellIs" dxfId="1627" priority="28" operator="greaterThan">
      <formula>0</formula>
    </cfRule>
  </conditionalFormatting>
  <conditionalFormatting sqref="P45 R45">
    <cfRule type="cellIs" dxfId="1626" priority="25" operator="lessThan">
      <formula>0</formula>
    </cfRule>
    <cfRule type="cellIs" dxfId="1625" priority="26" operator="greaterThan">
      <formula>0</formula>
    </cfRule>
  </conditionalFormatting>
  <conditionalFormatting sqref="U45">
    <cfRule type="cellIs" dxfId="1624" priority="23" operator="lessThan">
      <formula>0</formula>
    </cfRule>
    <cfRule type="cellIs" dxfId="1623" priority="24" operator="greaterThan">
      <formula>0</formula>
    </cfRule>
  </conditionalFormatting>
  <conditionalFormatting sqref="P46 R46">
    <cfRule type="cellIs" dxfId="1622" priority="21" operator="lessThan">
      <formula>0</formula>
    </cfRule>
    <cfRule type="cellIs" dxfId="1621" priority="22" operator="greaterThan">
      <formula>0</formula>
    </cfRule>
  </conditionalFormatting>
  <conditionalFormatting sqref="U46">
    <cfRule type="cellIs" dxfId="1620" priority="19" operator="lessThan">
      <formula>0</formula>
    </cfRule>
    <cfRule type="cellIs" dxfId="1619" priority="20" operator="greaterThan">
      <formula>0</formula>
    </cfRule>
  </conditionalFormatting>
  <conditionalFormatting sqref="P47 R47">
    <cfRule type="cellIs" dxfId="1618" priority="17" operator="lessThan">
      <formula>0</formula>
    </cfRule>
    <cfRule type="cellIs" dxfId="1617" priority="18" operator="greaterThan">
      <formula>0</formula>
    </cfRule>
  </conditionalFormatting>
  <conditionalFormatting sqref="U47">
    <cfRule type="cellIs" dxfId="1616" priority="15" operator="lessThan">
      <formula>0</formula>
    </cfRule>
    <cfRule type="cellIs" dxfId="1615" priority="16" operator="greaterThan">
      <formula>0</formula>
    </cfRule>
  </conditionalFormatting>
  <conditionalFormatting sqref="P48 R48">
    <cfRule type="cellIs" dxfId="1614" priority="13" operator="lessThan">
      <formula>0</formula>
    </cfRule>
    <cfRule type="cellIs" dxfId="1613" priority="14" operator="greaterThan">
      <formula>0</formula>
    </cfRule>
  </conditionalFormatting>
  <conditionalFormatting sqref="U48">
    <cfRule type="cellIs" dxfId="1612" priority="11" operator="lessThan">
      <formula>0</formula>
    </cfRule>
    <cfRule type="cellIs" dxfId="1611" priority="12" operator="greaterThan">
      <formula>0</formula>
    </cfRule>
  </conditionalFormatting>
  <conditionalFormatting sqref="P49 R49">
    <cfRule type="cellIs" dxfId="1610" priority="9" operator="lessThan">
      <formula>0</formula>
    </cfRule>
    <cfRule type="cellIs" dxfId="1609" priority="10" operator="greaterThan">
      <formula>0</formula>
    </cfRule>
  </conditionalFormatting>
  <conditionalFormatting sqref="U49">
    <cfRule type="cellIs" dxfId="1608" priority="7" operator="lessThan">
      <formula>0</formula>
    </cfRule>
    <cfRule type="cellIs" dxfId="1607" priority="8" operator="greaterThan">
      <formula>0</formula>
    </cfRule>
  </conditionalFormatting>
  <conditionalFormatting sqref="P50 R50">
    <cfRule type="cellIs" dxfId="1606" priority="5" operator="lessThan">
      <formula>0</formula>
    </cfRule>
    <cfRule type="cellIs" dxfId="1605" priority="6" operator="greaterThan">
      <formula>0</formula>
    </cfRule>
  </conditionalFormatting>
  <conditionalFormatting sqref="U50">
    <cfRule type="cellIs" dxfId="1604" priority="3" operator="lessThan">
      <formula>0</formula>
    </cfRule>
    <cfRule type="cellIs" dxfId="1603" priority="4" operator="greaterThan">
      <formula>0</formula>
    </cfRule>
  </conditionalFormatting>
  <conditionalFormatting sqref="U39">
    <cfRule type="cellIs" dxfId="1602" priority="1" operator="lessThan">
      <formula>0</formula>
    </cfRule>
    <cfRule type="cellIs" dxfId="1601" priority="2" operator="greaterThan">
      <formula>0</formula>
    </cfRule>
  </conditionalFormatting>
  <pageMargins left="0.7" right="0.7" top="0.75" bottom="0.75" header="0.3" footer="0.3"/>
  <pageSetup paperSize="9"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F5" activePane="bottomRight" state="frozen"/>
      <selection pane="topRight" activeCell="D1" sqref="D1"/>
      <selection pane="bottomLeft" activeCell="A5" sqref="A5"/>
      <selection pane="bottomRight" activeCell="D4" sqref="D4:S4"/>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6.7109375" style="454" bestFit="1" customWidth="1"/>
    <col min="6" max="6" width="16.7109375" bestFit="1" customWidth="1"/>
    <col min="7" max="7" width="16.7109375" style="97" bestFit="1" customWidth="1"/>
    <col min="8" max="9" width="16.7109375" bestFit="1" customWidth="1"/>
    <col min="10" max="19" width="16.7109375" style="5" bestFit="1" customWidth="1"/>
    <col min="20" max="20" width="11.42578125" style="5"/>
    <col min="21" max="21" width="16.140625" style="5" customWidth="1"/>
    <col min="22" max="22" width="9.7109375" style="5" bestFit="1" customWidth="1"/>
    <col min="23" max="16384" width="11.42578125" style="5"/>
  </cols>
  <sheetData>
    <row r="1" spans="1:22" ht="23.25" x14ac:dyDescent="0.35">
      <c r="A1" s="156" t="s">
        <v>13</v>
      </c>
      <c r="B1" s="255"/>
      <c r="C1" s="255"/>
    </row>
    <row r="2" spans="1:22" s="178" customFormat="1" ht="12.75" x14ac:dyDescent="0.2">
      <c r="B2" s="297"/>
      <c r="C2" s="297"/>
      <c r="D2" s="181">
        <f>EconomiaT42!S2+7</f>
        <v>41741</v>
      </c>
      <c r="E2" s="181">
        <f>D2+7</f>
        <v>41748</v>
      </c>
      <c r="F2" s="181">
        <f t="shared" ref="F2:S2" si="0">E2+7</f>
        <v>41755</v>
      </c>
      <c r="G2" s="181">
        <f t="shared" si="0"/>
        <v>41762</v>
      </c>
      <c r="H2" s="181">
        <f t="shared" si="0"/>
        <v>41769</v>
      </c>
      <c r="I2" s="181">
        <f t="shared" si="0"/>
        <v>41776</v>
      </c>
      <c r="J2" s="181">
        <f t="shared" si="0"/>
        <v>41783</v>
      </c>
      <c r="K2" s="181">
        <f t="shared" si="0"/>
        <v>41790</v>
      </c>
      <c r="L2" s="181">
        <f t="shared" si="0"/>
        <v>41797</v>
      </c>
      <c r="M2" s="181">
        <f t="shared" si="0"/>
        <v>41804</v>
      </c>
      <c r="N2" s="181">
        <f t="shared" si="0"/>
        <v>41811</v>
      </c>
      <c r="O2" s="181">
        <f t="shared" si="0"/>
        <v>41818</v>
      </c>
      <c r="P2" s="181">
        <f t="shared" si="0"/>
        <v>41825</v>
      </c>
      <c r="Q2" s="181">
        <f t="shared" si="0"/>
        <v>41832</v>
      </c>
      <c r="R2" s="181">
        <f t="shared" si="0"/>
        <v>41839</v>
      </c>
      <c r="S2" s="181">
        <f t="shared" si="0"/>
        <v>41846</v>
      </c>
      <c r="T2" s="181"/>
    </row>
    <row r="3" spans="1:22" s="6" customFormat="1" x14ac:dyDescent="0.25">
      <c r="A3" s="27"/>
      <c r="B3" s="27"/>
      <c r="C3" s="298" t="s">
        <v>1728</v>
      </c>
      <c r="D3" s="148" t="s">
        <v>16</v>
      </c>
      <c r="E3" s="148" t="s">
        <v>715</v>
      </c>
      <c r="F3" s="148" t="s">
        <v>702</v>
      </c>
      <c r="G3" s="148" t="s">
        <v>703</v>
      </c>
      <c r="H3" s="148" t="s">
        <v>704</v>
      </c>
      <c r="I3" s="148" t="s">
        <v>705</v>
      </c>
      <c r="J3" s="148" t="s">
        <v>21</v>
      </c>
      <c r="K3" s="148" t="s">
        <v>22</v>
      </c>
      <c r="L3" s="148" t="s">
        <v>23</v>
      </c>
      <c r="M3" s="148" t="s">
        <v>17</v>
      </c>
      <c r="N3" s="148" t="s">
        <v>18</v>
      </c>
      <c r="O3" s="148" t="s">
        <v>24</v>
      </c>
      <c r="P3" s="148" t="s">
        <v>25</v>
      </c>
      <c r="Q3" s="148" t="s">
        <v>26</v>
      </c>
      <c r="R3" s="148" t="s">
        <v>27</v>
      </c>
      <c r="S3" s="148" t="s">
        <v>28</v>
      </c>
    </row>
    <row r="4" spans="1:22" s="6" customFormat="1" x14ac:dyDescent="0.25">
      <c r="A4" s="27"/>
      <c r="B4" s="298"/>
      <c r="C4" s="298" t="s">
        <v>42</v>
      </c>
      <c r="D4" s="215">
        <f>EconomiaT42!S4+12</f>
        <v>2297</v>
      </c>
      <c r="E4" s="215">
        <f>D4+(D11/30)</f>
        <v>2300</v>
      </c>
      <c r="F4" s="215">
        <f t="shared" ref="F4:R4" si="1">E4+(E11/30)</f>
        <v>2307</v>
      </c>
      <c r="G4" s="215">
        <f t="shared" si="1"/>
        <v>2311</v>
      </c>
      <c r="H4" s="215">
        <f t="shared" si="1"/>
        <v>2319</v>
      </c>
      <c r="I4" s="215">
        <f t="shared" si="1"/>
        <v>2326</v>
      </c>
      <c r="J4" s="215">
        <f t="shared" si="1"/>
        <v>2334</v>
      </c>
      <c r="K4" s="215">
        <f t="shared" si="1"/>
        <v>2340</v>
      </c>
      <c r="L4" s="215">
        <f t="shared" si="1"/>
        <v>2344</v>
      </c>
      <c r="M4" s="215">
        <f t="shared" si="1"/>
        <v>2350</v>
      </c>
      <c r="N4" s="215">
        <f t="shared" si="1"/>
        <v>2356</v>
      </c>
      <c r="O4" s="215">
        <f t="shared" si="1"/>
        <v>2360</v>
      </c>
      <c r="P4" s="215">
        <f t="shared" si="1"/>
        <v>2366</v>
      </c>
      <c r="Q4" s="215">
        <f>P4+(P11/30)-2</f>
        <v>2364</v>
      </c>
      <c r="R4" s="215">
        <f t="shared" si="1"/>
        <v>2364</v>
      </c>
      <c r="S4" s="215">
        <f>R4+(R11/30)</f>
        <v>2370</v>
      </c>
    </row>
    <row r="5" spans="1:22" s="7" customFormat="1" ht="18.75" x14ac:dyDescent="0.3">
      <c r="A5" s="29" t="s">
        <v>12</v>
      </c>
      <c r="B5" s="29"/>
      <c r="C5" s="296">
        <f>EconomiaT42!S24</f>
        <v>3042270</v>
      </c>
      <c r="D5" s="197">
        <f>C5</f>
        <v>3042270</v>
      </c>
      <c r="E5" s="197">
        <f>D24</f>
        <v>1266088</v>
      </c>
      <c r="F5" s="197">
        <f t="shared" ref="F5:S5" si="2">E24</f>
        <v>1421210</v>
      </c>
      <c r="G5" s="197">
        <f t="shared" si="2"/>
        <v>4749315</v>
      </c>
      <c r="H5" s="197">
        <f t="shared" si="2"/>
        <v>4713186</v>
      </c>
      <c r="I5" s="197">
        <f t="shared" si="2"/>
        <v>2615923</v>
      </c>
      <c r="J5" s="197">
        <f t="shared" si="2"/>
        <v>1345506</v>
      </c>
      <c r="K5" s="197">
        <f t="shared" si="2"/>
        <v>751874</v>
      </c>
      <c r="L5" s="197">
        <f t="shared" si="2"/>
        <v>1249560</v>
      </c>
      <c r="M5" s="197">
        <f t="shared" si="2"/>
        <v>1216254</v>
      </c>
      <c r="N5" s="197">
        <f t="shared" si="2"/>
        <v>1442869</v>
      </c>
      <c r="O5" s="197">
        <f t="shared" si="2"/>
        <v>3043044</v>
      </c>
      <c r="P5" s="197">
        <f t="shared" si="2"/>
        <v>2710736</v>
      </c>
      <c r="Q5" s="197">
        <f t="shared" si="2"/>
        <v>3209175</v>
      </c>
      <c r="R5" s="197">
        <f t="shared" si="2"/>
        <v>2264858</v>
      </c>
      <c r="S5" s="197">
        <f t="shared" si="2"/>
        <v>2139607</v>
      </c>
    </row>
    <row r="6" spans="1:22" x14ac:dyDescent="0.25">
      <c r="A6" s="8" t="s">
        <v>0</v>
      </c>
      <c r="B6" s="8" t="s">
        <v>0</v>
      </c>
      <c r="C6" s="199">
        <f>SUM(D6:S6)</f>
        <v>4417516</v>
      </c>
      <c r="D6" s="200">
        <v>34650</v>
      </c>
      <c r="E6" s="200">
        <v>74662</v>
      </c>
      <c r="F6" s="200">
        <f>440621+34650</f>
        <v>475271</v>
      </c>
      <c r="G6" s="200">
        <v>113263</v>
      </c>
      <c r="H6" s="200">
        <f>541286</f>
        <v>541286</v>
      </c>
      <c r="I6" s="200">
        <f>424514+156041</f>
        <v>580555</v>
      </c>
      <c r="J6" s="200">
        <v>333253</v>
      </c>
      <c r="K6" s="200">
        <f>817341-430000+430000</f>
        <v>817341</v>
      </c>
      <c r="L6" s="200">
        <v>14939</v>
      </c>
      <c r="M6" s="200">
        <f>430247+20689</f>
        <v>450936</v>
      </c>
      <c r="N6" s="200">
        <v>10979</v>
      </c>
      <c r="O6" s="200">
        <v>10800</v>
      </c>
      <c r="P6" s="200">
        <v>473268</v>
      </c>
      <c r="Q6" s="200">
        <v>18500</v>
      </c>
      <c r="R6" s="200">
        <f>422808+19796</f>
        <v>442604</v>
      </c>
      <c r="S6" s="200">
        <v>25209</v>
      </c>
      <c r="U6" s="8" t="s">
        <v>0</v>
      </c>
      <c r="V6" s="219">
        <f>C6/$C$13</f>
        <v>0.18481122861683258</v>
      </c>
    </row>
    <row r="7" spans="1:22" x14ac:dyDescent="0.25">
      <c r="A7" s="8" t="s">
        <v>2</v>
      </c>
      <c r="B7" s="8" t="s">
        <v>2</v>
      </c>
      <c r="C7" s="199">
        <f t="shared" ref="C7:C23" si="3">SUM(D7:S7)</f>
        <v>1965334</v>
      </c>
      <c r="D7" s="202">
        <v>95835</v>
      </c>
      <c r="E7" s="202">
        <v>108784</v>
      </c>
      <c r="F7" s="202">
        <v>116555</v>
      </c>
      <c r="G7" s="202">
        <v>120995</v>
      </c>
      <c r="H7" s="202">
        <v>123585</v>
      </c>
      <c r="I7" s="202">
        <v>125065</v>
      </c>
      <c r="J7" s="202">
        <v>125990</v>
      </c>
      <c r="K7" s="202">
        <v>126545</v>
      </c>
      <c r="L7" s="202">
        <v>126915</v>
      </c>
      <c r="M7" s="202">
        <v>127285</v>
      </c>
      <c r="N7" s="202">
        <v>127655</v>
      </c>
      <c r="O7" s="202">
        <v>127840</v>
      </c>
      <c r="P7" s="202">
        <v>128025</v>
      </c>
      <c r="Q7" s="202">
        <f>P7</f>
        <v>128025</v>
      </c>
      <c r="R7" s="202">
        <v>128025</v>
      </c>
      <c r="S7" s="202">
        <v>128210</v>
      </c>
      <c r="U7" s="8" t="s">
        <v>2</v>
      </c>
      <c r="V7" s="219">
        <f t="shared" ref="V7:V12" si="4">C7/$C$13</f>
        <v>8.2221726233121531E-2</v>
      </c>
    </row>
    <row r="8" spans="1:22" x14ac:dyDescent="0.25">
      <c r="A8" s="8" t="s">
        <v>3</v>
      </c>
      <c r="B8" s="8" t="s">
        <v>48</v>
      </c>
      <c r="C8" s="199">
        <f t="shared" si="3"/>
        <v>15671084</v>
      </c>
      <c r="D8" s="200">
        <v>0</v>
      </c>
      <c r="E8" s="200">
        <f>8862+79016+65168+85083+54444+55155</f>
        <v>347728</v>
      </c>
      <c r="F8" s="200">
        <f>2976000+69465</f>
        <v>3045465</v>
      </c>
      <c r="G8" s="200">
        <v>70215</v>
      </c>
      <c r="H8" s="200">
        <f>227850+119040+16241</f>
        <v>363131</v>
      </c>
      <c r="I8" s="200">
        <v>2186393</v>
      </c>
      <c r="J8" s="200">
        <v>1032965</v>
      </c>
      <c r="K8" s="200">
        <v>46257</v>
      </c>
      <c r="L8" s="200">
        <v>50067</v>
      </c>
      <c r="M8" s="200">
        <v>55670</v>
      </c>
      <c r="N8" s="200">
        <v>1867343</v>
      </c>
      <c r="O8" s="200">
        <v>744000</v>
      </c>
      <c r="P8" s="200">
        <v>1860000</v>
      </c>
      <c r="Q8" s="200">
        <v>2139000</v>
      </c>
      <c r="R8" s="200">
        <v>2850</v>
      </c>
      <c r="S8" s="200">
        <v>1860000</v>
      </c>
      <c r="U8" s="8" t="s">
        <v>48</v>
      </c>
      <c r="V8" s="219">
        <f t="shared" si="4"/>
        <v>0.65561557395549608</v>
      </c>
    </row>
    <row r="9" spans="1:22" x14ac:dyDescent="0.25">
      <c r="A9" s="8"/>
      <c r="B9" s="8" t="s">
        <v>820</v>
      </c>
      <c r="C9" s="199">
        <f t="shared" si="3"/>
        <v>1077395</v>
      </c>
      <c r="D9" s="200">
        <v>0</v>
      </c>
      <c r="E9" s="200">
        <v>0</v>
      </c>
      <c r="F9" s="200">
        <v>0</v>
      </c>
      <c r="G9" s="200">
        <v>0</v>
      </c>
      <c r="H9" s="200">
        <v>297350</v>
      </c>
      <c r="I9" s="200">
        <v>0</v>
      </c>
      <c r="J9" s="200">
        <v>0</v>
      </c>
      <c r="K9" s="200">
        <v>0</v>
      </c>
      <c r="L9" s="200">
        <v>780045</v>
      </c>
      <c r="M9" s="200">
        <v>0</v>
      </c>
      <c r="N9" s="200">
        <v>0</v>
      </c>
      <c r="O9" s="200">
        <v>0</v>
      </c>
      <c r="P9" s="200">
        <v>0</v>
      </c>
      <c r="Q9" s="200">
        <v>0</v>
      </c>
      <c r="R9" s="200">
        <v>0</v>
      </c>
      <c r="S9" s="200">
        <v>0</v>
      </c>
      <c r="U9" s="8" t="s">
        <v>820</v>
      </c>
      <c r="V9" s="219">
        <f t="shared" si="4"/>
        <v>4.5073904351593148E-2</v>
      </c>
    </row>
    <row r="10" spans="1:22" x14ac:dyDescent="0.25">
      <c r="A10" s="8" t="s">
        <v>5</v>
      </c>
      <c r="B10" s="8" t="s">
        <v>5</v>
      </c>
      <c r="C10" s="199">
        <f t="shared" si="3"/>
        <v>223115</v>
      </c>
      <c r="D10" s="202">
        <v>4500</v>
      </c>
      <c r="E10" s="202">
        <v>0</v>
      </c>
      <c r="F10" s="202">
        <v>52520</v>
      </c>
      <c r="G10" s="202">
        <v>0</v>
      </c>
      <c r="H10" s="202">
        <v>100925</v>
      </c>
      <c r="I10" s="202">
        <v>0</v>
      </c>
      <c r="J10" s="202">
        <v>58</v>
      </c>
      <c r="K10" s="202">
        <v>30</v>
      </c>
      <c r="L10" s="202">
        <v>0</v>
      </c>
      <c r="M10" s="202">
        <v>0</v>
      </c>
      <c r="N10" s="202">
        <v>322</v>
      </c>
      <c r="O10" s="202">
        <v>0</v>
      </c>
      <c r="P10" s="202">
        <v>830</v>
      </c>
      <c r="Q10" s="202">
        <v>0</v>
      </c>
      <c r="R10" s="202">
        <v>0</v>
      </c>
      <c r="S10" s="202">
        <v>63930</v>
      </c>
      <c r="U10" s="8" t="s">
        <v>5</v>
      </c>
      <c r="V10" s="219">
        <f t="shared" si="4"/>
        <v>9.3342406168635504E-3</v>
      </c>
    </row>
    <row r="11" spans="1:22" x14ac:dyDescent="0.25">
      <c r="A11" s="728" t="s">
        <v>7</v>
      </c>
      <c r="B11" s="8" t="s">
        <v>42</v>
      </c>
      <c r="C11" s="199">
        <f t="shared" si="3"/>
        <v>73350</v>
      </c>
      <c r="D11" s="202">
        <v>90</v>
      </c>
      <c r="E11" s="202">
        <v>210</v>
      </c>
      <c r="F11" s="202">
        <v>120</v>
      </c>
      <c r="G11" s="202">
        <v>240</v>
      </c>
      <c r="H11" s="202">
        <v>210</v>
      </c>
      <c r="I11" s="202">
        <v>240</v>
      </c>
      <c r="J11" s="202">
        <v>180</v>
      </c>
      <c r="K11" s="202">
        <v>120</v>
      </c>
      <c r="L11" s="202">
        <v>180</v>
      </c>
      <c r="M11" s="202">
        <f t="shared" ref="M11:Q11" si="5">L11</f>
        <v>180</v>
      </c>
      <c r="N11" s="202">
        <v>120</v>
      </c>
      <c r="O11" s="202">
        <v>180</v>
      </c>
      <c r="P11" s="202">
        <v>0</v>
      </c>
      <c r="Q11" s="202">
        <f t="shared" si="5"/>
        <v>0</v>
      </c>
      <c r="R11" s="202">
        <v>180</v>
      </c>
      <c r="S11" s="202">
        <f>(S4*30)</f>
        <v>71100</v>
      </c>
      <c r="U11" s="8" t="s">
        <v>19</v>
      </c>
      <c r="V11" s="219">
        <f t="shared" si="4"/>
        <v>3.0686710855251393E-3</v>
      </c>
    </row>
    <row r="12" spans="1:22" x14ac:dyDescent="0.25">
      <c r="A12" s="729"/>
      <c r="B12" s="8" t="s">
        <v>51</v>
      </c>
      <c r="C12" s="199">
        <f t="shared" si="3"/>
        <v>475061</v>
      </c>
      <c r="D12" s="202">
        <v>0</v>
      </c>
      <c r="E12" s="202">
        <v>0</v>
      </c>
      <c r="F12" s="202">
        <v>0</v>
      </c>
      <c r="G12" s="202">
        <v>0</v>
      </c>
      <c r="H12" s="202">
        <v>0</v>
      </c>
      <c r="I12" s="202">
        <v>0</v>
      </c>
      <c r="J12" s="202">
        <v>0</v>
      </c>
      <c r="K12" s="202">
        <v>0</v>
      </c>
      <c r="L12" s="202">
        <v>0</v>
      </c>
      <c r="M12" s="202">
        <v>0</v>
      </c>
      <c r="N12" s="202">
        <v>0</v>
      </c>
      <c r="O12" s="202">
        <v>0</v>
      </c>
      <c r="P12" s="202">
        <v>0</v>
      </c>
      <c r="Q12" s="202">
        <v>0</v>
      </c>
      <c r="R12" s="202">
        <v>0</v>
      </c>
      <c r="S12" s="202">
        <f>474972+89</f>
        <v>475061</v>
      </c>
      <c r="U12" s="8" t="s">
        <v>51</v>
      </c>
      <c r="V12" s="219">
        <f t="shared" si="4"/>
        <v>1.9874655140567937E-2</v>
      </c>
    </row>
    <row r="13" spans="1:22" s="21" customFormat="1" ht="18.75" x14ac:dyDescent="0.3">
      <c r="A13" s="19" t="s">
        <v>14</v>
      </c>
      <c r="B13" s="20"/>
      <c r="C13" s="203">
        <f t="shared" si="3"/>
        <v>23902855</v>
      </c>
      <c r="D13" s="204">
        <f t="shared" ref="D13:I13" si="6">SUM(D6:D12)</f>
        <v>135075</v>
      </c>
      <c r="E13" s="204">
        <f t="shared" si="6"/>
        <v>531384</v>
      </c>
      <c r="F13" s="204">
        <f t="shared" si="6"/>
        <v>3689931</v>
      </c>
      <c r="G13" s="204">
        <f>G12+G11+G10+G9+G8+G7+G6</f>
        <v>304713</v>
      </c>
      <c r="H13" s="204">
        <f t="shared" si="6"/>
        <v>1426487</v>
      </c>
      <c r="I13" s="204">
        <f t="shared" si="6"/>
        <v>2892253</v>
      </c>
      <c r="J13" s="204">
        <f t="shared" ref="J13:S13" si="7">SUM(J6:J12)</f>
        <v>1492446</v>
      </c>
      <c r="K13" s="204">
        <f t="shared" si="7"/>
        <v>990293</v>
      </c>
      <c r="L13" s="204">
        <f t="shared" si="7"/>
        <v>972146</v>
      </c>
      <c r="M13" s="204">
        <f t="shared" si="7"/>
        <v>634071</v>
      </c>
      <c r="N13" s="204">
        <f t="shared" si="7"/>
        <v>2006419</v>
      </c>
      <c r="O13" s="204">
        <f t="shared" si="7"/>
        <v>882820</v>
      </c>
      <c r="P13" s="204">
        <f t="shared" si="7"/>
        <v>2462123</v>
      </c>
      <c r="Q13" s="204">
        <f t="shared" si="7"/>
        <v>2285525</v>
      </c>
      <c r="R13" s="204">
        <f t="shared" si="7"/>
        <v>573659</v>
      </c>
      <c r="S13" s="204">
        <f t="shared" si="7"/>
        <v>2623510</v>
      </c>
      <c r="V13" s="222">
        <f>SUM(V6:V12)</f>
        <v>1</v>
      </c>
    </row>
    <row r="14" spans="1:22" ht="18.75" x14ac:dyDescent="0.3">
      <c r="A14" s="22" t="s">
        <v>1</v>
      </c>
      <c r="B14" s="23" t="str">
        <f>A14</f>
        <v>Sueldos</v>
      </c>
      <c r="C14" s="206">
        <f t="shared" si="3"/>
        <v>4423408</v>
      </c>
      <c r="D14" s="207">
        <v>249420</v>
      </c>
      <c r="E14" s="207">
        <v>253944</v>
      </c>
      <c r="F14" s="207">
        <v>250508</v>
      </c>
      <c r="G14" s="207">
        <v>228524</v>
      </c>
      <c r="H14" s="207">
        <v>228936</v>
      </c>
      <c r="I14" s="207">
        <v>250908</v>
      </c>
      <c r="J14" s="207">
        <v>287730</v>
      </c>
      <c r="K14" s="207">
        <v>278284</v>
      </c>
      <c r="L14" s="207">
        <v>279304</v>
      </c>
      <c r="M14" s="207">
        <v>280138</v>
      </c>
      <c r="N14" s="207">
        <v>278940</v>
      </c>
      <c r="O14" s="207">
        <v>270392</v>
      </c>
      <c r="P14" s="207">
        <v>290512</v>
      </c>
      <c r="Q14" s="207">
        <v>301072</v>
      </c>
      <c r="R14" s="207">
        <v>343758</v>
      </c>
      <c r="S14" s="207">
        <v>351038</v>
      </c>
      <c r="U14" s="744">
        <f>C13</f>
        <v>23902855</v>
      </c>
      <c r="V14" s="745"/>
    </row>
    <row r="15" spans="1:22" x14ac:dyDescent="0.25">
      <c r="A15" s="22" t="s">
        <v>29</v>
      </c>
      <c r="B15" s="23" t="str">
        <f>A15</f>
        <v xml:space="preserve">Mantenimiento </v>
      </c>
      <c r="C15" s="206">
        <f t="shared" si="3"/>
        <v>521267</v>
      </c>
      <c r="D15" s="207">
        <f>EconomiaT42!S15</f>
        <v>31013</v>
      </c>
      <c r="E15" s="207">
        <v>32318</v>
      </c>
      <c r="F15" s="207">
        <f t="shared" ref="F15:S15" si="8">E15</f>
        <v>32318</v>
      </c>
      <c r="G15" s="207">
        <f t="shared" si="8"/>
        <v>32318</v>
      </c>
      <c r="H15" s="207">
        <f t="shared" si="8"/>
        <v>32318</v>
      </c>
      <c r="I15" s="207">
        <f t="shared" si="8"/>
        <v>32318</v>
      </c>
      <c r="J15" s="207">
        <f t="shared" si="8"/>
        <v>32318</v>
      </c>
      <c r="K15" s="207">
        <f t="shared" si="8"/>
        <v>32318</v>
      </c>
      <c r="L15" s="207">
        <f t="shared" si="8"/>
        <v>32318</v>
      </c>
      <c r="M15" s="207">
        <f t="shared" si="8"/>
        <v>32318</v>
      </c>
      <c r="N15" s="207">
        <v>33232</v>
      </c>
      <c r="O15" s="207">
        <f t="shared" si="8"/>
        <v>33232</v>
      </c>
      <c r="P15" s="207">
        <f t="shared" si="8"/>
        <v>33232</v>
      </c>
      <c r="Q15" s="207">
        <f t="shared" si="8"/>
        <v>33232</v>
      </c>
      <c r="R15" s="207">
        <f t="shared" si="8"/>
        <v>33232</v>
      </c>
      <c r="S15" s="207">
        <f t="shared" si="8"/>
        <v>33232</v>
      </c>
    </row>
    <row r="16" spans="1:22" x14ac:dyDescent="0.25">
      <c r="A16" s="22" t="s">
        <v>4</v>
      </c>
      <c r="B16" s="23" t="s">
        <v>30</v>
      </c>
      <c r="C16" s="206">
        <f t="shared" si="3"/>
        <v>384755</v>
      </c>
      <c r="D16" s="207">
        <v>0</v>
      </c>
      <c r="E16" s="207">
        <v>0</v>
      </c>
      <c r="F16" s="207">
        <v>0</v>
      </c>
      <c r="G16" s="207">
        <v>0</v>
      </c>
      <c r="H16" s="207">
        <v>0</v>
      </c>
      <c r="I16" s="207">
        <v>0</v>
      </c>
      <c r="J16" s="207">
        <v>0</v>
      </c>
      <c r="K16" s="207">
        <v>98005</v>
      </c>
      <c r="L16" s="207">
        <v>0</v>
      </c>
      <c r="M16" s="207">
        <v>0</v>
      </c>
      <c r="N16" s="207">
        <v>0</v>
      </c>
      <c r="O16" s="207">
        <v>0</v>
      </c>
      <c r="P16" s="207">
        <v>0</v>
      </c>
      <c r="Q16" s="207">
        <v>0</v>
      </c>
      <c r="R16" s="207">
        <v>0</v>
      </c>
      <c r="S16" s="207">
        <v>286750</v>
      </c>
    </row>
    <row r="17" spans="1:26" x14ac:dyDescent="0.25">
      <c r="A17" s="22" t="s">
        <v>6</v>
      </c>
      <c r="B17" s="23" t="str">
        <f>A17</f>
        <v>Empleados</v>
      </c>
      <c r="C17" s="206">
        <f t="shared" si="3"/>
        <v>886800</v>
      </c>
      <c r="D17" s="207">
        <v>46800</v>
      </c>
      <c r="E17" s="207">
        <v>54000</v>
      </c>
      <c r="F17" s="207">
        <f t="shared" ref="F17:R17" si="9">E17</f>
        <v>54000</v>
      </c>
      <c r="G17" s="207">
        <f t="shared" si="9"/>
        <v>54000</v>
      </c>
      <c r="H17" s="207">
        <f t="shared" si="9"/>
        <v>54000</v>
      </c>
      <c r="I17" s="207">
        <f t="shared" si="9"/>
        <v>54000</v>
      </c>
      <c r="J17" s="207">
        <v>60000</v>
      </c>
      <c r="K17" s="207">
        <f t="shared" si="9"/>
        <v>60000</v>
      </c>
      <c r="L17" s="207">
        <f t="shared" si="9"/>
        <v>60000</v>
      </c>
      <c r="M17" s="207">
        <f t="shared" si="9"/>
        <v>60000</v>
      </c>
      <c r="N17" s="207">
        <f t="shared" si="9"/>
        <v>60000</v>
      </c>
      <c r="O17" s="207">
        <f t="shared" si="9"/>
        <v>60000</v>
      </c>
      <c r="P17" s="207">
        <f t="shared" si="9"/>
        <v>60000</v>
      </c>
      <c r="Q17" s="207">
        <v>48000</v>
      </c>
      <c r="R17" s="207">
        <f t="shared" si="9"/>
        <v>48000</v>
      </c>
      <c r="S17" s="207">
        <v>54000</v>
      </c>
    </row>
    <row r="18" spans="1:26" x14ac:dyDescent="0.25">
      <c r="A18" s="22" t="s">
        <v>8</v>
      </c>
      <c r="B18" s="23" t="str">
        <f>A18</f>
        <v>Juveniles</v>
      </c>
      <c r="C18" s="206">
        <f t="shared" si="3"/>
        <v>320000</v>
      </c>
      <c r="D18" s="207">
        <v>20000</v>
      </c>
      <c r="E18" s="207">
        <f>D18</f>
        <v>20000</v>
      </c>
      <c r="F18" s="207">
        <f t="shared" ref="F18:S18" si="10">E18</f>
        <v>20000</v>
      </c>
      <c r="G18" s="207">
        <f t="shared" si="10"/>
        <v>20000</v>
      </c>
      <c r="H18" s="207">
        <f t="shared" si="10"/>
        <v>20000</v>
      </c>
      <c r="I18" s="207">
        <f t="shared" si="10"/>
        <v>20000</v>
      </c>
      <c r="J18" s="207">
        <f t="shared" si="10"/>
        <v>20000</v>
      </c>
      <c r="K18" s="207">
        <f t="shared" si="10"/>
        <v>20000</v>
      </c>
      <c r="L18" s="207">
        <f t="shared" si="10"/>
        <v>20000</v>
      </c>
      <c r="M18" s="207">
        <f t="shared" si="10"/>
        <v>20000</v>
      </c>
      <c r="N18" s="207">
        <f t="shared" si="10"/>
        <v>20000</v>
      </c>
      <c r="O18" s="207">
        <f t="shared" si="10"/>
        <v>20000</v>
      </c>
      <c r="P18" s="207">
        <f t="shared" si="10"/>
        <v>20000</v>
      </c>
      <c r="Q18" s="207">
        <f t="shared" si="10"/>
        <v>20000</v>
      </c>
      <c r="R18" s="207">
        <f t="shared" si="10"/>
        <v>20000</v>
      </c>
      <c r="S18" s="207">
        <f t="shared" si="10"/>
        <v>20000</v>
      </c>
    </row>
    <row r="19" spans="1:26" x14ac:dyDescent="0.25">
      <c r="A19" s="22" t="s">
        <v>9</v>
      </c>
      <c r="B19" s="23" t="s">
        <v>50</v>
      </c>
      <c r="C19" s="206">
        <f t="shared" si="3"/>
        <v>19327678</v>
      </c>
      <c r="D19" s="207">
        <v>1560024</v>
      </c>
      <c r="E19" s="207">
        <v>0</v>
      </c>
      <c r="F19" s="207">
        <v>0</v>
      </c>
      <c r="G19" s="207">
        <v>0</v>
      </c>
      <c r="H19" s="207">
        <v>3182496</v>
      </c>
      <c r="I19" s="207">
        <v>3799444</v>
      </c>
      <c r="J19" s="207">
        <v>1685030</v>
      </c>
      <c r="K19" s="207">
        <v>0</v>
      </c>
      <c r="L19" s="207">
        <v>596830</v>
      </c>
      <c r="M19" s="207">
        <v>0</v>
      </c>
      <c r="N19" s="207">
        <v>6072</v>
      </c>
      <c r="O19" s="207">
        <v>824504</v>
      </c>
      <c r="P19" s="207">
        <v>1526940</v>
      </c>
      <c r="Q19" s="207">
        <f>2364250+100000+708+21000+1188+2000+348+95000+1284+20000+684+35000+924+20000+732+26000+1284+26000+972+100000+1164</f>
        <v>2818538</v>
      </c>
      <c r="R19" s="207">
        <f>35000+924+17000+780+30000+708+23000+1068+27000+430+612+27000+25000+1068+25000+790+540+25000</f>
        <v>240920</v>
      </c>
      <c r="S19" s="207">
        <f>1200000+26676+1836000+24204</f>
        <v>3086880</v>
      </c>
    </row>
    <row r="20" spans="1:26" x14ac:dyDescent="0.25">
      <c r="A20" s="763" t="s">
        <v>7</v>
      </c>
      <c r="B20" s="23" t="s">
        <v>11</v>
      </c>
      <c r="C20" s="206">
        <f t="shared" si="3"/>
        <v>0</v>
      </c>
      <c r="D20" s="207">
        <v>0</v>
      </c>
      <c r="E20" s="207">
        <v>0</v>
      </c>
      <c r="F20" s="207">
        <v>0</v>
      </c>
      <c r="G20" s="207">
        <v>0</v>
      </c>
      <c r="H20" s="207">
        <v>0</v>
      </c>
      <c r="I20" s="207">
        <v>0</v>
      </c>
      <c r="J20" s="207">
        <v>0</v>
      </c>
      <c r="K20" s="207">
        <v>0</v>
      </c>
      <c r="L20" s="207">
        <v>0</v>
      </c>
      <c r="M20" s="207">
        <v>0</v>
      </c>
      <c r="N20" s="207">
        <v>0</v>
      </c>
      <c r="O20" s="207">
        <v>0</v>
      </c>
      <c r="P20" s="207">
        <v>0</v>
      </c>
      <c r="Q20" s="207">
        <v>0</v>
      </c>
      <c r="R20" s="207">
        <v>0</v>
      </c>
      <c r="S20" s="207">
        <v>0</v>
      </c>
    </row>
    <row r="21" spans="1:26" x14ac:dyDescent="0.25">
      <c r="A21" s="764"/>
      <c r="B21" s="23" t="s">
        <v>818</v>
      </c>
      <c r="C21" s="206">
        <f t="shared" si="3"/>
        <v>164000</v>
      </c>
      <c r="D21" s="207">
        <v>4000</v>
      </c>
      <c r="E21" s="207">
        <v>16000</v>
      </c>
      <c r="F21" s="207">
        <v>5000</v>
      </c>
      <c r="G21" s="207">
        <v>6000</v>
      </c>
      <c r="H21" s="207">
        <f t="shared" ref="H21:I21" si="11">G21</f>
        <v>6000</v>
      </c>
      <c r="I21" s="207">
        <f t="shared" si="11"/>
        <v>6000</v>
      </c>
      <c r="J21" s="207">
        <v>1000</v>
      </c>
      <c r="K21" s="207">
        <v>4000</v>
      </c>
      <c r="L21" s="207">
        <v>17000</v>
      </c>
      <c r="M21" s="207">
        <v>15000</v>
      </c>
      <c r="N21" s="207">
        <v>8000</v>
      </c>
      <c r="O21" s="207">
        <v>7000</v>
      </c>
      <c r="P21" s="207">
        <v>33000</v>
      </c>
      <c r="Q21" s="207">
        <v>9000</v>
      </c>
      <c r="R21" s="207">
        <v>13000</v>
      </c>
      <c r="S21" s="207">
        <v>14000</v>
      </c>
    </row>
    <row r="22" spans="1:26" x14ac:dyDescent="0.25">
      <c r="A22" s="22" t="s">
        <v>10</v>
      </c>
      <c r="B22" s="23" t="str">
        <f>A22</f>
        <v>Intereses</v>
      </c>
      <c r="C22" s="206">
        <f t="shared" si="3"/>
        <v>0</v>
      </c>
      <c r="D22" s="207">
        <v>0</v>
      </c>
      <c r="E22" s="207">
        <f>D22</f>
        <v>0</v>
      </c>
      <c r="F22" s="207">
        <f t="shared" ref="F22:S22" si="12">E22</f>
        <v>0</v>
      </c>
      <c r="G22" s="207">
        <f t="shared" si="12"/>
        <v>0</v>
      </c>
      <c r="H22" s="207">
        <f t="shared" si="12"/>
        <v>0</v>
      </c>
      <c r="I22" s="207">
        <f t="shared" si="12"/>
        <v>0</v>
      </c>
      <c r="J22" s="207">
        <f t="shared" si="12"/>
        <v>0</v>
      </c>
      <c r="K22" s="207">
        <f t="shared" si="12"/>
        <v>0</v>
      </c>
      <c r="L22" s="207">
        <f t="shared" si="12"/>
        <v>0</v>
      </c>
      <c r="M22" s="207">
        <f t="shared" si="12"/>
        <v>0</v>
      </c>
      <c r="N22" s="207">
        <f t="shared" si="12"/>
        <v>0</v>
      </c>
      <c r="O22" s="207">
        <f t="shared" si="12"/>
        <v>0</v>
      </c>
      <c r="P22" s="207">
        <f t="shared" si="12"/>
        <v>0</v>
      </c>
      <c r="Q22" s="207">
        <f t="shared" si="12"/>
        <v>0</v>
      </c>
      <c r="R22" s="207">
        <f t="shared" si="12"/>
        <v>0</v>
      </c>
      <c r="S22" s="207">
        <f t="shared" si="12"/>
        <v>0</v>
      </c>
      <c r="Z22" s="5">
        <f>917217-911788</f>
        <v>5429</v>
      </c>
    </row>
    <row r="23" spans="1:26" s="31" customFormat="1" ht="18.75" x14ac:dyDescent="0.3">
      <c r="A23" s="25" t="s">
        <v>15</v>
      </c>
      <c r="B23" s="26"/>
      <c r="C23" s="209">
        <f t="shared" si="3"/>
        <v>26027908</v>
      </c>
      <c r="D23" s="210">
        <f t="shared" ref="D23:S23" si="13">SUM(D14:D22)</f>
        <v>1911257</v>
      </c>
      <c r="E23" s="210">
        <f t="shared" si="13"/>
        <v>376262</v>
      </c>
      <c r="F23" s="210">
        <f t="shared" si="13"/>
        <v>361826</v>
      </c>
      <c r="G23" s="210">
        <f t="shared" si="13"/>
        <v>340842</v>
      </c>
      <c r="H23" s="210">
        <f t="shared" si="13"/>
        <v>3523750</v>
      </c>
      <c r="I23" s="210">
        <f t="shared" si="13"/>
        <v>4162670</v>
      </c>
      <c r="J23" s="210">
        <f t="shared" si="13"/>
        <v>2086078</v>
      </c>
      <c r="K23" s="210">
        <f t="shared" si="13"/>
        <v>492607</v>
      </c>
      <c r="L23" s="210">
        <f t="shared" si="13"/>
        <v>1005452</v>
      </c>
      <c r="M23" s="210">
        <f t="shared" si="13"/>
        <v>407456</v>
      </c>
      <c r="N23" s="210">
        <f t="shared" si="13"/>
        <v>406244</v>
      </c>
      <c r="O23" s="210">
        <f t="shared" si="13"/>
        <v>1215128</v>
      </c>
      <c r="P23" s="210">
        <f t="shared" si="13"/>
        <v>1963684</v>
      </c>
      <c r="Q23" s="210">
        <f t="shared" si="13"/>
        <v>3229842</v>
      </c>
      <c r="R23" s="210">
        <f t="shared" si="13"/>
        <v>698910</v>
      </c>
      <c r="S23" s="210">
        <f t="shared" si="13"/>
        <v>3845900</v>
      </c>
      <c r="U23" s="23" t="s">
        <v>1</v>
      </c>
      <c r="V23" s="220">
        <f>C14/$C$23</f>
        <v>0.16994865664962394</v>
      </c>
    </row>
    <row r="24" spans="1:26" s="7" customFormat="1" ht="18.75" x14ac:dyDescent="0.3">
      <c r="A24" s="9" t="s">
        <v>20</v>
      </c>
      <c r="B24" s="9"/>
      <c r="C24" s="197">
        <f>C5+C13-C23</f>
        <v>917217</v>
      </c>
      <c r="D24" s="197">
        <f t="shared" ref="D24:S24" si="14">D5+D13-D23</f>
        <v>1266088</v>
      </c>
      <c r="E24" s="197">
        <f t="shared" si="14"/>
        <v>1421210</v>
      </c>
      <c r="F24" s="197">
        <f t="shared" si="14"/>
        <v>4749315</v>
      </c>
      <c r="G24" s="197">
        <f t="shared" si="14"/>
        <v>4713186</v>
      </c>
      <c r="H24" s="197">
        <f t="shared" si="14"/>
        <v>2615923</v>
      </c>
      <c r="I24" s="197">
        <f t="shared" si="14"/>
        <v>1345506</v>
      </c>
      <c r="J24" s="197">
        <f t="shared" si="14"/>
        <v>751874</v>
      </c>
      <c r="K24" s="197">
        <f t="shared" si="14"/>
        <v>1249560</v>
      </c>
      <c r="L24" s="197">
        <f t="shared" si="14"/>
        <v>1216254</v>
      </c>
      <c r="M24" s="197">
        <f t="shared" si="14"/>
        <v>1442869</v>
      </c>
      <c r="N24" s="197">
        <f t="shared" si="14"/>
        <v>3043044</v>
      </c>
      <c r="O24" s="197">
        <f t="shared" si="14"/>
        <v>2710736</v>
      </c>
      <c r="P24" s="197">
        <f t="shared" si="14"/>
        <v>3209175</v>
      </c>
      <c r="Q24" s="197">
        <f t="shared" si="14"/>
        <v>2264858</v>
      </c>
      <c r="R24" s="197">
        <f t="shared" si="14"/>
        <v>2139607</v>
      </c>
      <c r="S24" s="197">
        <f t="shared" si="14"/>
        <v>917217</v>
      </c>
      <c r="U24" s="23" t="s">
        <v>29</v>
      </c>
      <c r="V24" s="220">
        <f t="shared" ref="V24:V31" si="15">C15/$C$23</f>
        <v>2.0027233844533338E-2</v>
      </c>
    </row>
    <row r="25" spans="1:26" s="178" customFormat="1" x14ac:dyDescent="0.25">
      <c r="A25" s="182"/>
      <c r="B25" s="182"/>
      <c r="C25" s="182"/>
      <c r="D25" s="183">
        <f>D2+6</f>
        <v>41747</v>
      </c>
      <c r="E25" s="183">
        <f>D25+7</f>
        <v>41754</v>
      </c>
      <c r="F25" s="183">
        <f t="shared" ref="F25:S25" si="16">E25+7</f>
        <v>41761</v>
      </c>
      <c r="G25" s="183">
        <f t="shared" si="16"/>
        <v>41768</v>
      </c>
      <c r="H25" s="183">
        <f t="shared" si="16"/>
        <v>41775</v>
      </c>
      <c r="I25" s="183">
        <f t="shared" si="16"/>
        <v>41782</v>
      </c>
      <c r="J25" s="183">
        <f t="shared" si="16"/>
        <v>41789</v>
      </c>
      <c r="K25" s="183">
        <f t="shared" si="16"/>
        <v>41796</v>
      </c>
      <c r="L25" s="183">
        <f t="shared" si="16"/>
        <v>41803</v>
      </c>
      <c r="M25" s="183">
        <f t="shared" si="16"/>
        <v>41810</v>
      </c>
      <c r="N25" s="183">
        <f t="shared" si="16"/>
        <v>41817</v>
      </c>
      <c r="O25" s="183">
        <f t="shared" si="16"/>
        <v>41824</v>
      </c>
      <c r="P25" s="183">
        <f t="shared" si="16"/>
        <v>41831</v>
      </c>
      <c r="Q25" s="183">
        <f t="shared" si="16"/>
        <v>41838</v>
      </c>
      <c r="R25" s="183">
        <f t="shared" si="16"/>
        <v>41845</v>
      </c>
      <c r="S25" s="183">
        <f t="shared" si="16"/>
        <v>41852</v>
      </c>
      <c r="U25" s="23" t="s">
        <v>30</v>
      </c>
      <c r="V25" s="220">
        <f t="shared" si="15"/>
        <v>1.4782402027854101E-2</v>
      </c>
    </row>
    <row r="26" spans="1:26" s="178" customFormat="1" x14ac:dyDescent="0.25">
      <c r="A26" s="732" t="s">
        <v>942</v>
      </c>
      <c r="B26" s="732"/>
      <c r="C26" s="223">
        <f>C6+C7+C11</f>
        <v>6456200</v>
      </c>
      <c r="D26" s="223">
        <f t="shared" ref="D26:S26" si="17">D6+D7+D11</f>
        <v>130575</v>
      </c>
      <c r="E26" s="223">
        <f t="shared" si="17"/>
        <v>183656</v>
      </c>
      <c r="F26" s="223">
        <f t="shared" si="17"/>
        <v>591946</v>
      </c>
      <c r="G26" s="223">
        <f t="shared" si="17"/>
        <v>234498</v>
      </c>
      <c r="H26" s="223">
        <f t="shared" si="17"/>
        <v>665081</v>
      </c>
      <c r="I26" s="223">
        <f>I6+I7+I11</f>
        <v>705860</v>
      </c>
      <c r="J26" s="223">
        <f>J6+J7+J11</f>
        <v>459423</v>
      </c>
      <c r="K26" s="223">
        <f t="shared" si="17"/>
        <v>944006</v>
      </c>
      <c r="L26" s="223">
        <f t="shared" si="17"/>
        <v>142034</v>
      </c>
      <c r="M26" s="223">
        <f t="shared" si="17"/>
        <v>578401</v>
      </c>
      <c r="N26" s="223">
        <f t="shared" si="17"/>
        <v>138754</v>
      </c>
      <c r="O26" s="223">
        <f t="shared" si="17"/>
        <v>138820</v>
      </c>
      <c r="P26" s="223">
        <f t="shared" si="17"/>
        <v>601293</v>
      </c>
      <c r="Q26" s="223">
        <f t="shared" si="17"/>
        <v>146525</v>
      </c>
      <c r="R26" s="223">
        <f t="shared" si="17"/>
        <v>570809</v>
      </c>
      <c r="S26" s="223">
        <f t="shared" si="17"/>
        <v>224519</v>
      </c>
      <c r="T26" s="194"/>
      <c r="U26" s="23" t="s">
        <v>6</v>
      </c>
      <c r="V26" s="220">
        <f t="shared" si="15"/>
        <v>3.4071120890699323E-2</v>
      </c>
    </row>
    <row r="27" spans="1:26" s="178" customFormat="1" x14ac:dyDescent="0.25">
      <c r="A27" s="733" t="s">
        <v>943</v>
      </c>
      <c r="B27" s="733"/>
      <c r="C27" s="224">
        <f>C14+C15+C17+C18+C21</f>
        <v>6315475</v>
      </c>
      <c r="D27" s="224">
        <f t="shared" ref="D27:S27" si="18">D14+D15+D17+D18+D21</f>
        <v>351233</v>
      </c>
      <c r="E27" s="224">
        <f t="shared" si="18"/>
        <v>376262</v>
      </c>
      <c r="F27" s="224">
        <f t="shared" si="18"/>
        <v>361826</v>
      </c>
      <c r="G27" s="224">
        <f t="shared" si="18"/>
        <v>340842</v>
      </c>
      <c r="H27" s="224">
        <f t="shared" si="18"/>
        <v>341254</v>
      </c>
      <c r="I27" s="224">
        <f t="shared" si="18"/>
        <v>363226</v>
      </c>
      <c r="J27" s="224">
        <f t="shared" si="18"/>
        <v>401048</v>
      </c>
      <c r="K27" s="224">
        <f t="shared" si="18"/>
        <v>394602</v>
      </c>
      <c r="L27" s="224">
        <f t="shared" si="18"/>
        <v>408622</v>
      </c>
      <c r="M27" s="224">
        <f t="shared" si="18"/>
        <v>407456</v>
      </c>
      <c r="N27" s="224">
        <f t="shared" si="18"/>
        <v>400172</v>
      </c>
      <c r="O27" s="224">
        <f t="shared" si="18"/>
        <v>390624</v>
      </c>
      <c r="P27" s="224">
        <f t="shared" si="18"/>
        <v>436744</v>
      </c>
      <c r="Q27" s="224">
        <f t="shared" si="18"/>
        <v>411304</v>
      </c>
      <c r="R27" s="224">
        <f t="shared" si="18"/>
        <v>457990</v>
      </c>
      <c r="S27" s="224">
        <f t="shared" si="18"/>
        <v>472270</v>
      </c>
      <c r="T27" s="195"/>
      <c r="U27" s="23" t="s">
        <v>8</v>
      </c>
      <c r="V27" s="220">
        <f t="shared" si="15"/>
        <v>1.2294495585277157E-2</v>
      </c>
    </row>
    <row r="28" spans="1:26" x14ac:dyDescent="0.25">
      <c r="A28" s="734" t="s">
        <v>944</v>
      </c>
      <c r="B28" s="734"/>
      <c r="C28" s="212">
        <f>C26-C27</f>
        <v>140725</v>
      </c>
      <c r="D28" s="212">
        <f t="shared" ref="D28:S28" si="19">D26-D27</f>
        <v>-220658</v>
      </c>
      <c r="E28" s="212">
        <f t="shared" si="19"/>
        <v>-192606</v>
      </c>
      <c r="F28" s="212">
        <f t="shared" si="19"/>
        <v>230120</v>
      </c>
      <c r="G28" s="212">
        <f t="shared" si="19"/>
        <v>-106344</v>
      </c>
      <c r="H28" s="212">
        <f t="shared" si="19"/>
        <v>323827</v>
      </c>
      <c r="I28" s="212">
        <f t="shared" si="19"/>
        <v>342634</v>
      </c>
      <c r="J28" s="212">
        <f t="shared" si="19"/>
        <v>58375</v>
      </c>
      <c r="K28" s="212">
        <f t="shared" si="19"/>
        <v>549404</v>
      </c>
      <c r="L28" s="212">
        <f t="shared" si="19"/>
        <v>-266588</v>
      </c>
      <c r="M28" s="212">
        <f t="shared" si="19"/>
        <v>170945</v>
      </c>
      <c r="N28" s="212">
        <f t="shared" si="19"/>
        <v>-261418</v>
      </c>
      <c r="O28" s="212">
        <f t="shared" si="19"/>
        <v>-251804</v>
      </c>
      <c r="P28" s="212">
        <f t="shared" si="19"/>
        <v>164549</v>
      </c>
      <c r="Q28" s="212">
        <f t="shared" si="19"/>
        <v>-264779</v>
      </c>
      <c r="R28" s="212">
        <f t="shared" si="19"/>
        <v>112819</v>
      </c>
      <c r="S28" s="212">
        <f t="shared" si="19"/>
        <v>-247751</v>
      </c>
      <c r="T28" s="192"/>
      <c r="U28" s="23" t="s">
        <v>50</v>
      </c>
      <c r="V28" s="220">
        <f t="shared" si="15"/>
        <v>0.74257516201455764</v>
      </c>
    </row>
    <row r="29" spans="1:26" x14ac:dyDescent="0.25">
      <c r="A29" s="732" t="s">
        <v>945</v>
      </c>
      <c r="B29" s="732"/>
      <c r="C29" s="223">
        <f>C8+C9+C10+C12</f>
        <v>17446655</v>
      </c>
      <c r="D29" s="223">
        <f t="shared" ref="D29:S29" si="20">D8+D9+D10+D12</f>
        <v>4500</v>
      </c>
      <c r="E29" s="223">
        <f t="shared" si="20"/>
        <v>347728</v>
      </c>
      <c r="F29" s="223">
        <f t="shared" si="20"/>
        <v>3097985</v>
      </c>
      <c r="G29" s="223">
        <f t="shared" si="20"/>
        <v>70215</v>
      </c>
      <c r="H29" s="223">
        <f t="shared" si="20"/>
        <v>761406</v>
      </c>
      <c r="I29" s="223">
        <f t="shared" si="20"/>
        <v>2186393</v>
      </c>
      <c r="J29" s="223">
        <f t="shared" si="20"/>
        <v>1033023</v>
      </c>
      <c r="K29" s="223">
        <f t="shared" si="20"/>
        <v>46287</v>
      </c>
      <c r="L29" s="223">
        <f t="shared" si="20"/>
        <v>830112</v>
      </c>
      <c r="M29" s="223">
        <f t="shared" si="20"/>
        <v>55670</v>
      </c>
      <c r="N29" s="223">
        <f t="shared" si="20"/>
        <v>1867665</v>
      </c>
      <c r="O29" s="223">
        <f t="shared" si="20"/>
        <v>744000</v>
      </c>
      <c r="P29" s="223">
        <f t="shared" si="20"/>
        <v>1860830</v>
      </c>
      <c r="Q29" s="223">
        <f t="shared" si="20"/>
        <v>2139000</v>
      </c>
      <c r="R29" s="223">
        <f t="shared" si="20"/>
        <v>2850</v>
      </c>
      <c r="S29" s="223">
        <f t="shared" si="20"/>
        <v>2398991</v>
      </c>
      <c r="T29" s="192"/>
      <c r="U29" s="23" t="s">
        <v>11</v>
      </c>
      <c r="V29" s="220">
        <f t="shared" si="15"/>
        <v>0</v>
      </c>
    </row>
    <row r="30" spans="1:26" s="6" customFormat="1" x14ac:dyDescent="0.25">
      <c r="A30" s="733" t="s">
        <v>946</v>
      </c>
      <c r="B30" s="733"/>
      <c r="C30" s="224">
        <f>C16+C19+C20+C22</f>
        <v>19712433</v>
      </c>
      <c r="D30" s="224">
        <f t="shared" ref="D30:S30" si="21">D16+D19+D20+D22</f>
        <v>1560024</v>
      </c>
      <c r="E30" s="224">
        <f t="shared" si="21"/>
        <v>0</v>
      </c>
      <c r="F30" s="224">
        <f t="shared" si="21"/>
        <v>0</v>
      </c>
      <c r="G30" s="224">
        <f t="shared" si="21"/>
        <v>0</v>
      </c>
      <c r="H30" s="224">
        <f t="shared" si="21"/>
        <v>3182496</v>
      </c>
      <c r="I30" s="224">
        <f t="shared" si="21"/>
        <v>3799444</v>
      </c>
      <c r="J30" s="224">
        <f t="shared" si="21"/>
        <v>1685030</v>
      </c>
      <c r="K30" s="224">
        <f t="shared" si="21"/>
        <v>98005</v>
      </c>
      <c r="L30" s="224">
        <f t="shared" si="21"/>
        <v>596830</v>
      </c>
      <c r="M30" s="224">
        <f t="shared" si="21"/>
        <v>0</v>
      </c>
      <c r="N30" s="224">
        <f t="shared" si="21"/>
        <v>6072</v>
      </c>
      <c r="O30" s="224">
        <f t="shared" si="21"/>
        <v>824504</v>
      </c>
      <c r="P30" s="224">
        <f t="shared" si="21"/>
        <v>1526940</v>
      </c>
      <c r="Q30" s="224">
        <f t="shared" si="21"/>
        <v>2818538</v>
      </c>
      <c r="R30" s="224">
        <f t="shared" si="21"/>
        <v>240920</v>
      </c>
      <c r="S30" s="224">
        <f t="shared" si="21"/>
        <v>3373630</v>
      </c>
      <c r="U30" s="23" t="s">
        <v>818</v>
      </c>
      <c r="V30" s="220">
        <f t="shared" si="15"/>
        <v>6.3009289874545434E-3</v>
      </c>
    </row>
    <row r="31" spans="1:26" s="6" customFormat="1" x14ac:dyDescent="0.25">
      <c r="A31" s="734" t="s">
        <v>947</v>
      </c>
      <c r="B31" s="734"/>
      <c r="C31" s="212">
        <f>C29-C30</f>
        <v>-2265778</v>
      </c>
      <c r="D31" s="212">
        <f t="shared" ref="D31:S31" si="22">D29-D30</f>
        <v>-1555524</v>
      </c>
      <c r="E31" s="212">
        <f t="shared" si="22"/>
        <v>347728</v>
      </c>
      <c r="F31" s="212">
        <f t="shared" si="22"/>
        <v>3097985</v>
      </c>
      <c r="G31" s="212">
        <f t="shared" si="22"/>
        <v>70215</v>
      </c>
      <c r="H31" s="212">
        <f t="shared" si="22"/>
        <v>-2421090</v>
      </c>
      <c r="I31" s="212">
        <f t="shared" si="22"/>
        <v>-1613051</v>
      </c>
      <c r="J31" s="212">
        <f t="shared" si="22"/>
        <v>-652007</v>
      </c>
      <c r="K31" s="212">
        <f t="shared" si="22"/>
        <v>-51718</v>
      </c>
      <c r="L31" s="212">
        <f t="shared" si="22"/>
        <v>233282</v>
      </c>
      <c r="M31" s="212">
        <f t="shared" si="22"/>
        <v>55670</v>
      </c>
      <c r="N31" s="212">
        <f t="shared" si="22"/>
        <v>1861593</v>
      </c>
      <c r="O31" s="212">
        <f t="shared" si="22"/>
        <v>-80504</v>
      </c>
      <c r="P31" s="212">
        <f t="shared" si="22"/>
        <v>333890</v>
      </c>
      <c r="Q31" s="212">
        <f t="shared" si="22"/>
        <v>-679538</v>
      </c>
      <c r="R31" s="212">
        <f t="shared" si="22"/>
        <v>-238070</v>
      </c>
      <c r="S31" s="212">
        <f t="shared" si="22"/>
        <v>-974639</v>
      </c>
      <c r="U31" s="23" t="s">
        <v>10</v>
      </c>
      <c r="V31" s="220">
        <f t="shared" si="15"/>
        <v>0</v>
      </c>
    </row>
    <row r="32" spans="1:26" s="6" customFormat="1" ht="18.75" x14ac:dyDescent="0.3">
      <c r="A32" s="192"/>
      <c r="B32" s="192"/>
      <c r="C32" s="192"/>
      <c r="D32" s="192"/>
      <c r="E32" s="192"/>
      <c r="F32" s="192"/>
      <c r="G32" s="192"/>
      <c r="H32" s="192"/>
      <c r="I32" s="192"/>
      <c r="J32" s="192"/>
      <c r="K32" s="192"/>
      <c r="L32" s="192"/>
      <c r="M32" s="192"/>
      <c r="N32" s="192"/>
      <c r="O32" s="192"/>
      <c r="P32" s="192"/>
      <c r="Q32" s="192"/>
      <c r="R32" s="192"/>
      <c r="S32" s="192"/>
      <c r="V32" s="221">
        <f>SUM(V23:V31)</f>
        <v>1</v>
      </c>
    </row>
    <row r="33" spans="1:22" s="6" customFormat="1" ht="18.75" x14ac:dyDescent="0.3">
      <c r="A33" s="27"/>
      <c r="B33" s="752" t="s">
        <v>821</v>
      </c>
      <c r="C33" s="167" t="s">
        <v>819</v>
      </c>
      <c r="D33" s="189">
        <v>17369320</v>
      </c>
      <c r="E33" s="189">
        <v>17369320</v>
      </c>
      <c r="F33" s="189">
        <v>14768320</v>
      </c>
      <c r="G33" s="189">
        <v>14768320</v>
      </c>
      <c r="H33" s="189">
        <v>14718320</v>
      </c>
      <c r="I33" s="189">
        <v>12228500</v>
      </c>
      <c r="J33" s="189">
        <v>12228500</v>
      </c>
      <c r="K33" s="189">
        <v>12228500</v>
      </c>
      <c r="L33" s="189">
        <v>12823500</v>
      </c>
      <c r="M33" s="189">
        <v>12823500</v>
      </c>
      <c r="N33" s="189">
        <v>11376500</v>
      </c>
      <c r="O33" s="189">
        <v>9035500</v>
      </c>
      <c r="P33" s="189">
        <v>9035500</v>
      </c>
      <c r="Q33" s="189">
        <v>6444500</v>
      </c>
      <c r="R33" s="189">
        <v>6444500</v>
      </c>
      <c r="S33" s="189">
        <v>4278500</v>
      </c>
      <c r="U33" s="746">
        <f>C23</f>
        <v>26027908</v>
      </c>
      <c r="V33" s="747"/>
    </row>
    <row r="34" spans="1:22" x14ac:dyDescent="0.25">
      <c r="A34" s="27"/>
      <c r="B34" s="753"/>
      <c r="C34" s="167" t="s">
        <v>481</v>
      </c>
      <c r="D34" s="189">
        <v>10640460</v>
      </c>
      <c r="E34" s="189">
        <v>10640460</v>
      </c>
      <c r="F34" s="189">
        <v>10640460</v>
      </c>
      <c r="G34" s="189">
        <v>10640460</v>
      </c>
      <c r="H34" s="189">
        <v>13029460</v>
      </c>
      <c r="I34" s="189">
        <v>16146040</v>
      </c>
      <c r="J34" s="189">
        <v>16067040</v>
      </c>
      <c r="K34" s="189">
        <v>16067040</v>
      </c>
      <c r="L34" s="189">
        <v>16067040</v>
      </c>
      <c r="M34" s="189">
        <v>16067040</v>
      </c>
      <c r="N34" s="189">
        <v>16067040</v>
      </c>
      <c r="O34" s="189">
        <v>17287040</v>
      </c>
      <c r="P34" s="189">
        <v>17287040</v>
      </c>
      <c r="Q34" s="189">
        <v>19307039</v>
      </c>
      <c r="R34" s="189">
        <v>19307039</v>
      </c>
      <c r="S34" s="189">
        <v>22343039</v>
      </c>
    </row>
    <row r="35" spans="1:22" x14ac:dyDescent="0.25">
      <c r="A35" s="27"/>
      <c r="B35" s="753"/>
      <c r="C35" s="167" t="s">
        <v>1385</v>
      </c>
      <c r="D35" s="189">
        <v>426000</v>
      </c>
      <c r="E35" s="189">
        <v>326000</v>
      </c>
      <c r="F35" s="189">
        <v>286000</v>
      </c>
      <c r="G35" s="189">
        <v>258000</v>
      </c>
      <c r="H35" s="189">
        <v>255000</v>
      </c>
      <c r="I35" s="189">
        <v>225000</v>
      </c>
      <c r="J35" s="189">
        <v>196000</v>
      </c>
      <c r="K35" s="189">
        <v>160000</v>
      </c>
      <c r="L35" s="189">
        <v>82000</v>
      </c>
      <c r="M35" s="189">
        <v>82000</v>
      </c>
      <c r="N35" s="189">
        <v>0</v>
      </c>
      <c r="O35" s="189">
        <v>0</v>
      </c>
      <c r="P35" s="189">
        <v>0</v>
      </c>
      <c r="Q35" s="189">
        <v>781601</v>
      </c>
      <c r="R35" s="189">
        <v>980601</v>
      </c>
      <c r="S35" s="189">
        <v>980601</v>
      </c>
    </row>
    <row r="36" spans="1:22" x14ac:dyDescent="0.25">
      <c r="A36" s="27"/>
      <c r="B36" s="754"/>
      <c r="C36" s="299" t="s">
        <v>291</v>
      </c>
      <c r="D36" s="300">
        <v>28435780</v>
      </c>
      <c r="E36" s="300">
        <v>28335780</v>
      </c>
      <c r="F36" s="300">
        <v>25694780</v>
      </c>
      <c r="G36" s="300">
        <v>25666780</v>
      </c>
      <c r="H36" s="300">
        <v>28002780</v>
      </c>
      <c r="I36" s="300">
        <v>28599540</v>
      </c>
      <c r="J36" s="300">
        <v>28491540</v>
      </c>
      <c r="K36" s="300">
        <v>28455540</v>
      </c>
      <c r="L36" s="300">
        <v>28972540</v>
      </c>
      <c r="M36" s="300">
        <v>28972540</v>
      </c>
      <c r="N36" s="300">
        <v>27443540</v>
      </c>
      <c r="O36" s="300">
        <v>26322540</v>
      </c>
      <c r="P36" s="300">
        <v>26322540</v>
      </c>
      <c r="Q36" s="300">
        <v>26533140</v>
      </c>
      <c r="R36" s="300">
        <v>26732140</v>
      </c>
      <c r="S36" s="300">
        <v>27602140</v>
      </c>
    </row>
    <row r="37" spans="1:22" x14ac:dyDescent="0.25">
      <c r="C37" s="192"/>
      <c r="D37" s="247"/>
      <c r="E37" s="247"/>
      <c r="J37"/>
      <c r="K37"/>
      <c r="L37"/>
    </row>
    <row r="38" spans="1:22" x14ac:dyDescent="0.25">
      <c r="D38" s="247"/>
      <c r="H38" s="455"/>
      <c r="I38" s="455"/>
      <c r="J38" s="247"/>
      <c r="K38"/>
    </row>
    <row r="39" spans="1:22" ht="15" customHeight="1" x14ac:dyDescent="0.25">
      <c r="D39" s="225"/>
      <c r="E39" s="225"/>
      <c r="F39" s="225"/>
      <c r="G39" s="225"/>
      <c r="H39" s="225"/>
      <c r="I39" s="225"/>
      <c r="J39" s="225"/>
      <c r="K39" s="225"/>
      <c r="L39" s="225"/>
      <c r="M39" s="225"/>
      <c r="N39" s="225"/>
      <c r="O39" s="225"/>
      <c r="P39" s="225"/>
      <c r="Q39" s="225"/>
      <c r="R39" s="225"/>
      <c r="S39" s="225"/>
    </row>
    <row r="40" spans="1:22" ht="15" customHeight="1" x14ac:dyDescent="0.25">
      <c r="H40" s="731"/>
      <c r="I40" s="731"/>
      <c r="J40" s="731"/>
      <c r="K40" s="731"/>
    </row>
    <row r="41" spans="1:22" x14ac:dyDescent="0.25">
      <c r="H41" s="455"/>
      <c r="I41" s="455"/>
      <c r="J41" s="455"/>
      <c r="K41" s="455"/>
    </row>
    <row r="42" spans="1:22" x14ac:dyDescent="0.25">
      <c r="H42" s="478"/>
      <c r="I42" s="478"/>
      <c r="J42" s="478"/>
      <c r="K42" s="478"/>
      <c r="L42" s="478"/>
    </row>
    <row r="43" spans="1:22" x14ac:dyDescent="0.25">
      <c r="H43" s="455"/>
      <c r="I43" s="455"/>
      <c r="J43" s="455"/>
      <c r="K43" s="455"/>
    </row>
    <row r="44" spans="1:22" x14ac:dyDescent="0.25">
      <c r="H44" s="455"/>
      <c r="I44" s="455"/>
      <c r="J44" s="455"/>
      <c r="K44" s="455"/>
    </row>
    <row r="45" spans="1:22" x14ac:dyDescent="0.25">
      <c r="H45" s="455"/>
      <c r="I45" s="455"/>
      <c r="J45" s="455"/>
      <c r="K45" s="455"/>
    </row>
    <row r="46" spans="1:22" x14ac:dyDescent="0.25">
      <c r="H46" s="455"/>
      <c r="I46" s="455"/>
      <c r="J46" s="455"/>
      <c r="K46" s="455"/>
    </row>
    <row r="47" spans="1:22" x14ac:dyDescent="0.25">
      <c r="H47" s="455"/>
      <c r="I47" s="455"/>
      <c r="J47" s="455"/>
      <c r="K47" s="455"/>
    </row>
    <row r="48" spans="1:22" x14ac:dyDescent="0.25">
      <c r="H48" s="455"/>
      <c r="I48" s="455"/>
      <c r="J48" s="455"/>
      <c r="K48" s="455"/>
    </row>
    <row r="49" spans="8:11" x14ac:dyDescent="0.25">
      <c r="H49" s="727"/>
      <c r="I49" s="727"/>
      <c r="J49" s="727"/>
      <c r="K49" s="727"/>
    </row>
    <row r="50" spans="8:11" x14ac:dyDescent="0.25">
      <c r="H50" s="455"/>
      <c r="I50" s="455"/>
      <c r="J50" s="455"/>
      <c r="K50" s="455"/>
    </row>
    <row r="51" spans="8:11" x14ac:dyDescent="0.25">
      <c r="H51" s="727"/>
      <c r="I51" s="727"/>
      <c r="J51" s="727"/>
      <c r="K51" s="727"/>
    </row>
    <row r="52" spans="8:11" ht="15" customHeight="1" x14ac:dyDescent="0.25">
      <c r="H52" s="727"/>
      <c r="I52" s="727"/>
      <c r="J52" s="727"/>
      <c r="K52" s="4"/>
    </row>
  </sheetData>
  <mergeCells count="16">
    <mergeCell ref="U33:V33"/>
    <mergeCell ref="H40:I40"/>
    <mergeCell ref="J40:K40"/>
    <mergeCell ref="A11:A12"/>
    <mergeCell ref="U14:V14"/>
    <mergeCell ref="A26:B26"/>
    <mergeCell ref="A27:B27"/>
    <mergeCell ref="A28:B28"/>
    <mergeCell ref="A29:B29"/>
    <mergeCell ref="A20:A21"/>
    <mergeCell ref="H49:K49"/>
    <mergeCell ref="H51:K51"/>
    <mergeCell ref="H52:J52"/>
    <mergeCell ref="A30:B30"/>
    <mergeCell ref="A31:B31"/>
    <mergeCell ref="B33:B36"/>
  </mergeCells>
  <pageMargins left="0.7" right="0.7" top="0.75" bottom="0.75" header="0.3" footer="0.3"/>
  <pageSetup paperSize="9" orientation="portrait" horizontalDpi="200" verticalDpi="200"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X83"/>
  <sheetViews>
    <sheetView zoomScale="90" zoomScaleNormal="90" workbookViewId="0">
      <pane xSplit="9" ySplit="3" topLeftCell="J4" activePane="bottomRight" state="frozen"/>
      <selection pane="topRight" activeCell="J1" sqref="J1"/>
      <selection pane="bottomLeft" activeCell="A3" sqref="A3"/>
      <selection pane="bottomRight" activeCell="B4" sqref="B4:G34"/>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19.7109375" bestFit="1" customWidth="1"/>
    <col min="6" max="6" width="18" style="225" bestFit="1" customWidth="1"/>
    <col min="7" max="7" width="6.5703125" style="225" bestFit="1" customWidth="1"/>
    <col min="8" max="8" width="2.85546875" customWidth="1"/>
    <col min="9" max="9" width="7.42578125" bestFit="1" customWidth="1"/>
    <col min="10" max="10" width="17.42578125" style="2" bestFit="1" customWidth="1"/>
    <col min="11" max="11" width="12.7109375" bestFit="1" customWidth="1"/>
    <col min="12" max="12" width="10" bestFit="1" customWidth="1"/>
    <col min="13" max="16" width="12.7109375" bestFit="1" customWidth="1"/>
    <col min="17" max="17" width="7.5703125" style="321" bestFit="1" customWidth="1"/>
    <col min="18" max="18" width="9" bestFit="1" customWidth="1"/>
    <col min="19" max="19" width="9.28515625" bestFit="1" customWidth="1"/>
    <col min="20" max="20" width="11" bestFit="1" customWidth="1"/>
    <col min="23" max="23" width="12.7109375" bestFit="1" customWidth="1"/>
  </cols>
  <sheetData>
    <row r="1" spans="2:24" ht="9" customHeight="1" x14ac:dyDescent="0.25"/>
    <row r="2" spans="2:24" ht="21" x14ac:dyDescent="0.35">
      <c r="B2" s="735" t="s">
        <v>1711</v>
      </c>
      <c r="C2" s="736"/>
      <c r="D2" s="736"/>
      <c r="E2" s="736"/>
      <c r="F2" s="736"/>
      <c r="G2" s="757"/>
      <c r="I2" s="765" t="s">
        <v>1712</v>
      </c>
      <c r="J2" s="766"/>
      <c r="K2" s="766"/>
      <c r="L2" s="766"/>
      <c r="M2" s="766"/>
      <c r="N2" s="766"/>
      <c r="O2" s="766"/>
      <c r="P2" s="766"/>
      <c r="Q2" s="766"/>
      <c r="R2" s="766"/>
      <c r="S2" s="766"/>
      <c r="T2" s="767"/>
    </row>
    <row r="3" spans="2:24" x14ac:dyDescent="0.25">
      <c r="B3" s="755" t="s">
        <v>1025</v>
      </c>
      <c r="C3" s="749"/>
      <c r="D3" s="749"/>
      <c r="E3" s="749"/>
      <c r="F3" s="749"/>
      <c r="G3" s="756"/>
      <c r="I3" s="346" t="s">
        <v>36</v>
      </c>
      <c r="J3" s="17" t="s">
        <v>481</v>
      </c>
      <c r="K3" s="17" t="s">
        <v>50</v>
      </c>
      <c r="L3" s="17" t="s">
        <v>1332</v>
      </c>
      <c r="M3" s="17" t="s">
        <v>879</v>
      </c>
      <c r="N3" s="17" t="s">
        <v>1333</v>
      </c>
      <c r="O3" s="17" t="s">
        <v>950</v>
      </c>
      <c r="P3" s="17" t="s">
        <v>1336</v>
      </c>
      <c r="Q3" s="406" t="s">
        <v>1326</v>
      </c>
      <c r="R3" s="345" t="s">
        <v>1337</v>
      </c>
      <c r="S3" s="345" t="s">
        <v>1334</v>
      </c>
      <c r="T3" s="345" t="s">
        <v>1335</v>
      </c>
    </row>
    <row r="4" spans="2:24" ht="18.75" x14ac:dyDescent="0.3">
      <c r="B4" s="759" t="s">
        <v>948</v>
      </c>
      <c r="C4" s="760"/>
      <c r="D4" s="268"/>
      <c r="E4" s="761" t="s">
        <v>949</v>
      </c>
      <c r="F4" s="762"/>
      <c r="G4" s="268"/>
      <c r="I4" s="187" t="s">
        <v>1006</v>
      </c>
      <c r="J4" s="336" t="s">
        <v>1822</v>
      </c>
      <c r="K4" s="333">
        <v>3150000</v>
      </c>
      <c r="L4" s="333">
        <v>32496</v>
      </c>
      <c r="M4" s="333">
        <v>0</v>
      </c>
      <c r="N4" s="333">
        <v>0</v>
      </c>
      <c r="O4" s="343">
        <f t="shared" ref="O4:O35" si="0">IF(M4=0,0,M4-K4)-N4</f>
        <v>0</v>
      </c>
      <c r="P4" s="333">
        <f t="shared" ref="P4:P30" si="1">IF(M4=0,K4,0)</f>
        <v>3150000</v>
      </c>
      <c r="Q4" s="403"/>
      <c r="R4" s="347">
        <v>41769</v>
      </c>
      <c r="S4" s="347"/>
      <c r="T4" s="344"/>
      <c r="X4" s="247"/>
    </row>
    <row r="5" spans="2:24" x14ac:dyDescent="0.25">
      <c r="B5" s="243"/>
      <c r="C5" s="244"/>
      <c r="D5" s="423"/>
      <c r="E5" s="243"/>
      <c r="F5" s="244"/>
      <c r="G5" s="269"/>
      <c r="I5" s="334" t="s">
        <v>1004</v>
      </c>
      <c r="J5" s="337" t="s">
        <v>1678</v>
      </c>
      <c r="K5" s="335">
        <v>2601000</v>
      </c>
      <c r="L5" s="335"/>
      <c r="M5" s="335">
        <v>3200000</v>
      </c>
      <c r="N5" s="335">
        <f>M5-2976000</f>
        <v>224000</v>
      </c>
      <c r="O5" s="335">
        <f t="shared" si="0"/>
        <v>375000</v>
      </c>
      <c r="P5" s="335">
        <f t="shared" si="1"/>
        <v>0</v>
      </c>
      <c r="Q5" s="405">
        <f>O5/K5</f>
        <v>0.14417531718569782</v>
      </c>
      <c r="R5" s="348">
        <v>41613</v>
      </c>
      <c r="S5" s="348">
        <v>41758</v>
      </c>
      <c r="T5" s="353">
        <f>O5/((S5-R5)/7)</f>
        <v>18103.448275862069</v>
      </c>
    </row>
    <row r="6" spans="2:24" x14ac:dyDescent="0.25">
      <c r="B6" s="226" t="s">
        <v>951</v>
      </c>
      <c r="C6" s="242">
        <f>SUM(C7:C9)</f>
        <v>3442910</v>
      </c>
      <c r="D6" s="304">
        <f>C6/$C$34</f>
        <v>6.1632115500064158E-2</v>
      </c>
      <c r="E6" s="226" t="s">
        <v>1329</v>
      </c>
      <c r="F6" s="242">
        <f>F7+F8+F9</f>
        <v>33016507</v>
      </c>
      <c r="G6" s="271">
        <f>F6/$F$34</f>
        <v>0.59103408826622739</v>
      </c>
      <c r="I6" s="408" t="s">
        <v>1004</v>
      </c>
      <c r="J6" s="409" t="s">
        <v>1689</v>
      </c>
      <c r="K6" s="410">
        <v>2591000</v>
      </c>
      <c r="L6" s="410"/>
      <c r="M6" s="410">
        <v>2300000</v>
      </c>
      <c r="N6" s="410">
        <f>M6-2139000</f>
        <v>161000</v>
      </c>
      <c r="O6" s="410">
        <f t="shared" si="0"/>
        <v>-452000</v>
      </c>
      <c r="P6" s="410">
        <f t="shared" si="1"/>
        <v>0</v>
      </c>
      <c r="Q6" s="411">
        <f>O6/K6</f>
        <v>-0.17445001929756851</v>
      </c>
      <c r="R6" s="412">
        <v>41282</v>
      </c>
      <c r="S6" s="412">
        <v>41832</v>
      </c>
      <c r="T6" s="413">
        <f>O6/((S6-R6)/7)</f>
        <v>-5752.727272727273</v>
      </c>
    </row>
    <row r="7" spans="2:24" x14ac:dyDescent="0.25">
      <c r="B7" s="249" t="s">
        <v>30</v>
      </c>
      <c r="C7" s="250">
        <f>'A-P_T42'!C7+EconomiaT43!C16</f>
        <v>2850810</v>
      </c>
      <c r="D7" s="424">
        <f>C7/$C$34</f>
        <v>5.1032833036221657E-2</v>
      </c>
      <c r="E7" s="425" t="s">
        <v>1029</v>
      </c>
      <c r="F7" s="237">
        <v>300000</v>
      </c>
      <c r="G7" s="272">
        <f>F7/$F$34</f>
        <v>5.3703508514655477E-3</v>
      </c>
      <c r="I7" s="187" t="s">
        <v>1006</v>
      </c>
      <c r="J7" s="336" t="s">
        <v>1731</v>
      </c>
      <c r="K7" s="333">
        <v>2500000</v>
      </c>
      <c r="L7" s="333">
        <v>30400</v>
      </c>
      <c r="M7" s="333">
        <v>0</v>
      </c>
      <c r="N7" s="333">
        <v>0</v>
      </c>
      <c r="O7" s="343">
        <f t="shared" si="0"/>
        <v>0</v>
      </c>
      <c r="P7" s="333">
        <f t="shared" si="1"/>
        <v>2500000</v>
      </c>
      <c r="Q7" s="403"/>
      <c r="R7" s="347">
        <v>41778</v>
      </c>
      <c r="S7" s="347"/>
      <c r="T7" s="344"/>
    </row>
    <row r="8" spans="2:24" x14ac:dyDescent="0.25">
      <c r="B8" s="249" t="s">
        <v>11</v>
      </c>
      <c r="C8" s="250">
        <f>'A-P_T42'!C8+EconomiaT43!C20</f>
        <v>592100</v>
      </c>
      <c r="D8" s="424">
        <f>C8/$C$34</f>
        <v>1.0599282463842502E-2</v>
      </c>
      <c r="E8" s="425" t="s">
        <v>1602</v>
      </c>
      <c r="F8" s="237">
        <f>'A-P_T42'!F9+'A-P_T42'!F8</f>
        <v>30452400</v>
      </c>
      <c r="G8" s="272">
        <f>F8/$F$34</f>
        <v>0.54513357423056474</v>
      </c>
      <c r="I8" s="334" t="s">
        <v>1004</v>
      </c>
      <c r="J8" s="337" t="s">
        <v>1691</v>
      </c>
      <c r="K8" s="335">
        <f>2493696-3876</f>
        <v>2489820</v>
      </c>
      <c r="L8" s="335"/>
      <c r="M8" s="335">
        <v>2100000</v>
      </c>
      <c r="N8" s="335">
        <f>M8-1953000</f>
        <v>147000</v>
      </c>
      <c r="O8" s="335">
        <f t="shared" si="0"/>
        <v>-536820</v>
      </c>
      <c r="P8" s="335">
        <f t="shared" si="1"/>
        <v>0</v>
      </c>
      <c r="Q8" s="405">
        <f>O8/K8</f>
        <v>-0.21560594741788563</v>
      </c>
      <c r="R8" s="348">
        <v>41584</v>
      </c>
      <c r="S8" s="348">
        <v>41776</v>
      </c>
      <c r="T8" s="353">
        <f>O8/((S8-R8)/7)</f>
        <v>-19571.5625</v>
      </c>
    </row>
    <row r="9" spans="2:24" x14ac:dyDescent="0.25">
      <c r="B9" s="245" t="s">
        <v>1026</v>
      </c>
      <c r="C9" s="248">
        <v>0</v>
      </c>
      <c r="D9" s="424">
        <f>C9/$C$34</f>
        <v>0</v>
      </c>
      <c r="E9" s="425" t="s">
        <v>1710</v>
      </c>
      <c r="F9" s="237">
        <f>'A-P_T42'!F11-EconomiaT42!C24+EconomiaT42!C5-57714-2122-198</f>
        <v>2264107</v>
      </c>
      <c r="G9" s="272">
        <f>F9/$F$34</f>
        <v>4.053016318419702E-2</v>
      </c>
      <c r="I9" s="334" t="s">
        <v>1004</v>
      </c>
      <c r="J9" s="337" t="s">
        <v>1673</v>
      </c>
      <c r="K9" s="335">
        <v>2341000</v>
      </c>
      <c r="L9" s="335"/>
      <c r="M9" s="335">
        <v>2000000</v>
      </c>
      <c r="N9" s="335">
        <f>M9-1860000</f>
        <v>140000</v>
      </c>
      <c r="O9" s="335">
        <f t="shared" si="0"/>
        <v>-481000</v>
      </c>
      <c r="P9" s="335">
        <f t="shared" si="1"/>
        <v>0</v>
      </c>
      <c r="Q9" s="405">
        <f>O9/K9</f>
        <v>-0.20546774882528834</v>
      </c>
      <c r="R9" s="348">
        <v>41577</v>
      </c>
      <c r="S9" s="348">
        <v>41828</v>
      </c>
      <c r="T9" s="353">
        <f>O9/((S9-R9)/7)</f>
        <v>-13414.342629482073</v>
      </c>
    </row>
    <row r="10" spans="2:24" x14ac:dyDescent="0.25">
      <c r="B10" s="228"/>
      <c r="C10" s="227"/>
      <c r="D10" s="304"/>
      <c r="E10" s="426"/>
      <c r="F10" s="227"/>
      <c r="G10" s="271"/>
      <c r="I10" s="334" t="s">
        <v>1004</v>
      </c>
      <c r="J10" s="337" t="s">
        <v>1649</v>
      </c>
      <c r="K10" s="335">
        <v>2166000</v>
      </c>
      <c r="L10" s="335"/>
      <c r="M10" s="335">
        <v>2000000</v>
      </c>
      <c r="N10" s="335">
        <f>M10-1860000</f>
        <v>140000</v>
      </c>
      <c r="O10" s="335">
        <f t="shared" si="0"/>
        <v>-306000</v>
      </c>
      <c r="P10" s="335">
        <f t="shared" si="1"/>
        <v>0</v>
      </c>
      <c r="Q10" s="405">
        <f>O10/K10</f>
        <v>-0.14127423822714683</v>
      </c>
      <c r="R10" s="348">
        <v>41542</v>
      </c>
      <c r="S10" s="348">
        <v>41846</v>
      </c>
      <c r="T10" s="353">
        <f>O10/((S10-R10)/7)</f>
        <v>-7046.0526315789466</v>
      </c>
    </row>
    <row r="11" spans="2:24" x14ac:dyDescent="0.25">
      <c r="B11" s="226" t="s">
        <v>481</v>
      </c>
      <c r="C11" s="242">
        <f>SUM(C12:C15)</f>
        <v>27602140</v>
      </c>
      <c r="D11" s="304">
        <f>C11/$C$34</f>
        <v>0.49411058683757081</v>
      </c>
      <c r="E11" s="226" t="s">
        <v>1677</v>
      </c>
      <c r="F11" s="242">
        <f>SUM(F12:F17)</f>
        <v>-2906763</v>
      </c>
      <c r="G11" s="271">
        <f t="shared" ref="G11:G17" si="2">F11/$F$34</f>
        <v>-5.2034457173528496E-2</v>
      </c>
      <c r="I11" s="187" t="s">
        <v>1004</v>
      </c>
      <c r="J11" s="336" t="s">
        <v>1676</v>
      </c>
      <c r="K11" s="333">
        <v>2125000</v>
      </c>
      <c r="L11" s="333"/>
      <c r="M11" s="333">
        <v>0</v>
      </c>
      <c r="N11" s="333">
        <v>0</v>
      </c>
      <c r="O11" s="343">
        <f t="shared" si="0"/>
        <v>0</v>
      </c>
      <c r="P11" s="333">
        <f t="shared" si="1"/>
        <v>2125000</v>
      </c>
      <c r="Q11" s="403"/>
      <c r="R11" s="347">
        <v>41584</v>
      </c>
      <c r="S11" s="347"/>
      <c r="T11" s="344"/>
    </row>
    <row r="12" spans="2:24" x14ac:dyDescent="0.25">
      <c r="B12" s="231" t="s">
        <v>1381</v>
      </c>
      <c r="C12" s="232">
        <f>SUMIF(I4:I92,"S",$P$4:$P$92)</f>
        <v>0</v>
      </c>
      <c r="D12" s="424">
        <f>C12/$C$34</f>
        <v>0</v>
      </c>
      <c r="E12" s="339" t="s">
        <v>1194</v>
      </c>
      <c r="F12" s="340">
        <f>SUMIF(I4:I92,"J",$O$4:$O$92)</f>
        <v>-2224300</v>
      </c>
      <c r="G12" s="272">
        <f t="shared" si="2"/>
        <v>-3.9817571329716056E-2</v>
      </c>
      <c r="I12" s="187" t="s">
        <v>1006</v>
      </c>
      <c r="J12" s="336" t="s">
        <v>1612</v>
      </c>
      <c r="K12" s="333">
        <v>2017000</v>
      </c>
      <c r="L12" s="333"/>
      <c r="M12" s="333">
        <v>0</v>
      </c>
      <c r="N12" s="333">
        <v>0</v>
      </c>
      <c r="O12" s="343">
        <f t="shared" si="0"/>
        <v>0</v>
      </c>
      <c r="P12" s="333">
        <f t="shared" si="1"/>
        <v>2017000</v>
      </c>
      <c r="Q12" s="403"/>
      <c r="R12" s="347">
        <v>41465</v>
      </c>
      <c r="S12" s="347"/>
      <c r="T12" s="344"/>
    </row>
    <row r="13" spans="2:24" x14ac:dyDescent="0.25">
      <c r="B13" s="231" t="s">
        <v>481</v>
      </c>
      <c r="C13" s="232">
        <f>SUMIF(I4:I92,"J",$P$4:$P$92)</f>
        <v>22343039</v>
      </c>
      <c r="D13" s="424">
        <f>C13/$C$34</f>
        <v>0.39996652839325975</v>
      </c>
      <c r="E13" s="339" t="s">
        <v>1382</v>
      </c>
      <c r="F13" s="340">
        <f>SUMIF(I4:I92,"S",$O$4:$O$92)</f>
        <v>0</v>
      </c>
      <c r="G13" s="272">
        <f t="shared" si="2"/>
        <v>0</v>
      </c>
      <c r="I13" s="187" t="s">
        <v>1006</v>
      </c>
      <c r="J13" s="336" t="s">
        <v>1760</v>
      </c>
      <c r="K13" s="333">
        <v>1671000</v>
      </c>
      <c r="L13" s="333">
        <v>14030</v>
      </c>
      <c r="M13" s="333">
        <v>0</v>
      </c>
      <c r="N13" s="333">
        <v>0</v>
      </c>
      <c r="O13" s="343">
        <f t="shared" si="0"/>
        <v>0</v>
      </c>
      <c r="P13" s="333">
        <f t="shared" si="1"/>
        <v>1671000</v>
      </c>
      <c r="Q13" s="403"/>
      <c r="R13" s="347">
        <v>41785</v>
      </c>
      <c r="S13" s="347"/>
      <c r="T13" s="344"/>
    </row>
    <row r="14" spans="2:24" x14ac:dyDescent="0.25">
      <c r="B14" s="231" t="s">
        <v>819</v>
      </c>
      <c r="C14" s="232">
        <f>SUMIF(I4:I92,"E",$P$4:$P$92)</f>
        <v>4278500</v>
      </c>
      <c r="D14" s="424">
        <f>C14/$C$34</f>
        <v>7.659015372665115E-2</v>
      </c>
      <c r="E14" s="339" t="s">
        <v>1195</v>
      </c>
      <c r="F14" s="340">
        <f>SUMIF(I4:I92,"C",$O$4:$O$92)</f>
        <v>1077395</v>
      </c>
      <c r="G14" s="272">
        <f t="shared" si="2"/>
        <v>1.9286630518715743E-2</v>
      </c>
      <c r="I14" s="187" t="s">
        <v>1004</v>
      </c>
      <c r="J14" s="336" t="s">
        <v>1727</v>
      </c>
      <c r="K14" s="333">
        <v>1555500</v>
      </c>
      <c r="L14" s="333">
        <v>4524</v>
      </c>
      <c r="M14" s="333">
        <v>0</v>
      </c>
      <c r="N14" s="333">
        <v>0</v>
      </c>
      <c r="O14" s="343">
        <f t="shared" si="0"/>
        <v>0</v>
      </c>
      <c r="P14" s="333">
        <f t="shared" si="1"/>
        <v>1555500</v>
      </c>
      <c r="Q14" s="403"/>
      <c r="R14" s="347">
        <v>41742</v>
      </c>
      <c r="S14" s="347"/>
      <c r="T14" s="344"/>
    </row>
    <row r="15" spans="2:24" x14ac:dyDescent="0.25">
      <c r="B15" s="231" t="s">
        <v>997</v>
      </c>
      <c r="C15" s="232">
        <f>SUMIF(I4:I92,"M",$P$4:$P$92)</f>
        <v>980601</v>
      </c>
      <c r="D15" s="424">
        <f>C15/$C$34</f>
        <v>1.7553904717659892E-2</v>
      </c>
      <c r="E15" s="339" t="s">
        <v>1196</v>
      </c>
      <c r="F15" s="340">
        <f>SUMIF(I4:I92,"E",$O$4:$O$92)</f>
        <v>-812970</v>
      </c>
      <c r="G15" s="272">
        <f t="shared" si="2"/>
        <v>-1.4553113772386486E-2</v>
      </c>
      <c r="I15" s="187" t="s">
        <v>1006</v>
      </c>
      <c r="J15" s="336" t="s">
        <v>1690</v>
      </c>
      <c r="K15" s="333">
        <v>1532040</v>
      </c>
      <c r="L15" s="333"/>
      <c r="M15" s="333">
        <v>0</v>
      </c>
      <c r="N15" s="333">
        <v>0</v>
      </c>
      <c r="O15" s="343">
        <f t="shared" si="0"/>
        <v>0</v>
      </c>
      <c r="P15" s="333">
        <f t="shared" si="1"/>
        <v>1532040</v>
      </c>
      <c r="Q15" s="403"/>
      <c r="R15" s="347">
        <v>41282</v>
      </c>
      <c r="S15" s="347"/>
      <c r="T15" s="344"/>
    </row>
    <row r="16" spans="2:24" x14ac:dyDescent="0.25">
      <c r="B16" s="235"/>
      <c r="C16" s="236"/>
      <c r="D16" s="304"/>
      <c r="E16" s="339" t="s">
        <v>1197</v>
      </c>
      <c r="F16" s="340">
        <f>SUMIF(I4:I92,"M",$O$4:$O$92)</f>
        <v>339264</v>
      </c>
      <c r="G16" s="272">
        <f t="shared" si="2"/>
        <v>6.0732223709053582E-3</v>
      </c>
      <c r="I16" s="187" t="s">
        <v>1006</v>
      </c>
      <c r="J16" s="336" t="s">
        <v>1781</v>
      </c>
      <c r="K16" s="333">
        <v>1500000</v>
      </c>
      <c r="L16" s="333">
        <v>26940</v>
      </c>
      <c r="M16" s="333">
        <v>0</v>
      </c>
      <c r="N16" s="333">
        <v>0</v>
      </c>
      <c r="O16" s="343">
        <f t="shared" si="0"/>
        <v>0</v>
      </c>
      <c r="P16" s="333">
        <f t="shared" si="1"/>
        <v>1500000</v>
      </c>
      <c r="Q16" s="403"/>
      <c r="R16" s="347">
        <v>41831</v>
      </c>
      <c r="S16" s="347"/>
      <c r="T16" s="344"/>
    </row>
    <row r="17" spans="2:23" x14ac:dyDescent="0.25">
      <c r="B17" s="226" t="s">
        <v>48</v>
      </c>
      <c r="C17" s="260">
        <f>C18+C19</f>
        <v>16745629</v>
      </c>
      <c r="D17" s="304">
        <f>C17/$C$34</f>
        <v>0.29976634319492051</v>
      </c>
      <c r="E17" s="341" t="s">
        <v>1713</v>
      </c>
      <c r="F17" s="342">
        <f>'A-P_T43'!C9+C22-F27+EconomiaT43!C24-EconomiaT43!C5</f>
        <v>-1286152</v>
      </c>
      <c r="G17" s="272">
        <f t="shared" si="2"/>
        <v>-2.3023624961047054E-2</v>
      </c>
      <c r="I17" s="334" t="s">
        <v>1004</v>
      </c>
      <c r="J17" s="337" t="s">
        <v>1243</v>
      </c>
      <c r="K17" s="335">
        <v>1450000</v>
      </c>
      <c r="L17" s="335"/>
      <c r="M17" s="335">
        <v>2000000</v>
      </c>
      <c r="N17" s="335">
        <f>M17-1860000</f>
        <v>140000</v>
      </c>
      <c r="O17" s="335">
        <f t="shared" si="0"/>
        <v>410000</v>
      </c>
      <c r="P17" s="335">
        <f t="shared" si="1"/>
        <v>0</v>
      </c>
      <c r="Q17" s="405">
        <f>O17/K17</f>
        <v>0.28275862068965518</v>
      </c>
      <c r="R17" s="348">
        <v>41179</v>
      </c>
      <c r="S17" s="348">
        <v>41812</v>
      </c>
      <c r="T17" s="353">
        <f>O17/((S17-R17)/7)</f>
        <v>4533.9652448657189</v>
      </c>
    </row>
    <row r="18" spans="2:23" x14ac:dyDescent="0.25">
      <c r="B18" s="231" t="s">
        <v>48</v>
      </c>
      <c r="C18" s="232">
        <f>SUM(M4:M89)</f>
        <v>18020970</v>
      </c>
      <c r="D18" s="424">
        <f>C18/$C$34</f>
        <v>0.3225964386124503</v>
      </c>
      <c r="E18" s="228"/>
      <c r="F18" s="227"/>
      <c r="G18" s="270"/>
      <c r="I18" s="187" t="s">
        <v>1006</v>
      </c>
      <c r="J18" s="336" t="s">
        <v>1616</v>
      </c>
      <c r="K18" s="333">
        <v>1275000</v>
      </c>
      <c r="L18" s="333"/>
      <c r="M18" s="333">
        <v>0</v>
      </c>
      <c r="N18" s="333">
        <v>0</v>
      </c>
      <c r="O18" s="343">
        <f t="shared" si="0"/>
        <v>0</v>
      </c>
      <c r="P18" s="333">
        <f t="shared" si="1"/>
        <v>1275000</v>
      </c>
      <c r="Q18" s="403"/>
      <c r="R18" s="347">
        <v>41488</v>
      </c>
      <c r="S18" s="347"/>
      <c r="T18" s="344"/>
    </row>
    <row r="19" spans="2:23" x14ac:dyDescent="0.25">
      <c r="B19" s="245" t="s">
        <v>5</v>
      </c>
      <c r="C19" s="248">
        <f>SUM(N4:N89)*-1</f>
        <v>-1275341</v>
      </c>
      <c r="D19" s="424">
        <f>C19/$C$34</f>
        <v>-2.2830095417529742E-2</v>
      </c>
      <c r="E19" s="226" t="s">
        <v>1034</v>
      </c>
      <c r="F19" s="260">
        <f>F20+F21</f>
        <v>19052298</v>
      </c>
      <c r="G19" s="271">
        <f>F19/$F$34</f>
        <v>0.3410584159555845</v>
      </c>
      <c r="I19" s="187" t="s">
        <v>1006</v>
      </c>
      <c r="J19" s="336" t="s">
        <v>1777</v>
      </c>
      <c r="K19" s="333">
        <v>1250000</v>
      </c>
      <c r="L19" s="333">
        <v>19044</v>
      </c>
      <c r="M19" s="333">
        <v>0</v>
      </c>
      <c r="N19" s="333">
        <v>0</v>
      </c>
      <c r="O19" s="343">
        <f t="shared" si="0"/>
        <v>0</v>
      </c>
      <c r="P19" s="333">
        <f t="shared" si="1"/>
        <v>1250000</v>
      </c>
      <c r="Q19" s="403"/>
      <c r="R19" s="347">
        <v>41776</v>
      </c>
      <c r="S19" s="347"/>
      <c r="T19" s="344"/>
      <c r="W19" s="247"/>
    </row>
    <row r="20" spans="2:23" x14ac:dyDescent="0.25">
      <c r="B20" s="235"/>
      <c r="C20" s="236"/>
      <c r="D20" s="424"/>
      <c r="E20" s="307" t="s">
        <v>50</v>
      </c>
      <c r="F20" s="427">
        <f>EconomiaT43!C19</f>
        <v>19327678</v>
      </c>
      <c r="G20" s="272">
        <f>F20/$F$34</f>
        <v>0.34598804001383976</v>
      </c>
      <c r="I20" s="334" t="s">
        <v>1006</v>
      </c>
      <c r="J20" s="337" t="s">
        <v>1684</v>
      </c>
      <c r="K20" s="335">
        <v>1071000</v>
      </c>
      <c r="L20" s="335"/>
      <c r="M20" s="335">
        <v>800000</v>
      </c>
      <c r="N20" s="335">
        <f>M20-744000</f>
        <v>56000</v>
      </c>
      <c r="O20" s="335">
        <f t="shared" si="0"/>
        <v>-327000</v>
      </c>
      <c r="P20" s="335">
        <f t="shared" si="1"/>
        <v>0</v>
      </c>
      <c r="Q20" s="405">
        <f>O20/K20</f>
        <v>-0.30532212885154064</v>
      </c>
      <c r="R20" s="348">
        <v>41624</v>
      </c>
      <c r="S20" s="348">
        <v>41819</v>
      </c>
      <c r="T20" s="353">
        <f>O20/((S20-R20)/7)</f>
        <v>-11738.461538461539</v>
      </c>
    </row>
    <row r="21" spans="2:23" x14ac:dyDescent="0.25">
      <c r="B21" s="235"/>
      <c r="C21" s="236"/>
      <c r="D21" s="304"/>
      <c r="E21" s="245" t="s">
        <v>1140</v>
      </c>
      <c r="F21" s="238">
        <f>SUM(L4:L89)*-1</f>
        <v>-275380</v>
      </c>
      <c r="G21" s="272">
        <f>F21/$F$34</f>
        <v>-4.9296240582552744E-3</v>
      </c>
      <c r="I21" s="187" t="s">
        <v>1006</v>
      </c>
      <c r="J21" s="336" t="s">
        <v>1792</v>
      </c>
      <c r="K21" s="333">
        <v>1020000</v>
      </c>
      <c r="L21" s="333">
        <v>14870</v>
      </c>
      <c r="M21" s="333">
        <v>0</v>
      </c>
      <c r="N21" s="333">
        <v>0</v>
      </c>
      <c r="O21" s="343">
        <f t="shared" si="0"/>
        <v>0</v>
      </c>
      <c r="P21" s="333">
        <f t="shared" si="1"/>
        <v>1020000</v>
      </c>
      <c r="Q21" s="403"/>
      <c r="R21" s="347">
        <v>41836</v>
      </c>
      <c r="S21" s="347"/>
      <c r="T21" s="344"/>
    </row>
    <row r="22" spans="2:23" x14ac:dyDescent="0.25">
      <c r="B22" s="226" t="s">
        <v>1328</v>
      </c>
      <c r="C22" s="242">
        <f>SUM(C23:C27)</f>
        <v>7154376</v>
      </c>
      <c r="D22" s="304">
        <f t="shared" ref="D22:D27" si="3">C22/$C$34</f>
        <v>0.12807169747768227</v>
      </c>
      <c r="E22" s="228"/>
      <c r="F22" s="227"/>
      <c r="G22" s="270"/>
      <c r="I22" s="187" t="s">
        <v>1006</v>
      </c>
      <c r="J22" s="336" t="s">
        <v>1791</v>
      </c>
      <c r="K22" s="333">
        <v>999999</v>
      </c>
      <c r="L22" s="333">
        <v>19980</v>
      </c>
      <c r="M22" s="333">
        <v>0</v>
      </c>
      <c r="N22" s="333">
        <v>0</v>
      </c>
      <c r="O22" s="343">
        <f t="shared" si="0"/>
        <v>0</v>
      </c>
      <c r="P22" s="333">
        <f t="shared" si="1"/>
        <v>999999</v>
      </c>
      <c r="Q22" s="403"/>
      <c r="R22" s="347">
        <v>41836</v>
      </c>
      <c r="S22" s="347"/>
      <c r="T22" s="344"/>
      <c r="V22" s="247"/>
      <c r="W22" s="247"/>
    </row>
    <row r="23" spans="2:23" x14ac:dyDescent="0.25">
      <c r="B23" s="233" t="s">
        <v>42</v>
      </c>
      <c r="C23" s="234">
        <f>EconomiaT43!C11</f>
        <v>73350</v>
      </c>
      <c r="D23" s="424">
        <f t="shared" si="3"/>
        <v>1.3130507831833262E-3</v>
      </c>
      <c r="E23" s="429" t="s">
        <v>1600</v>
      </c>
      <c r="F23" s="242">
        <f>F24+F25</f>
        <v>384755</v>
      </c>
      <c r="G23" s="271">
        <f>F23/$F$34</f>
        <v>6.8875644728520887E-3</v>
      </c>
      <c r="I23" s="334" t="s">
        <v>1006</v>
      </c>
      <c r="J23" s="337" t="s">
        <v>1614</v>
      </c>
      <c r="K23" s="335">
        <v>950000</v>
      </c>
      <c r="L23" s="335"/>
      <c r="M23" s="335">
        <v>699995</v>
      </c>
      <c r="N23" s="335">
        <f>M23-650995</f>
        <v>49000</v>
      </c>
      <c r="O23" s="335">
        <f t="shared" si="0"/>
        <v>-299005</v>
      </c>
      <c r="P23" s="335">
        <f t="shared" si="1"/>
        <v>0</v>
      </c>
      <c r="Q23" s="405">
        <f>O23/K23</f>
        <v>-0.31474210526315788</v>
      </c>
      <c r="R23" s="348">
        <v>41480</v>
      </c>
      <c r="S23" s="348">
        <v>41784</v>
      </c>
      <c r="T23" s="353">
        <f>O23/((S23-R23)/7)</f>
        <v>-6884.9835526315783</v>
      </c>
    </row>
    <row r="24" spans="2:23" x14ac:dyDescent="0.25">
      <c r="B24" s="233" t="s">
        <v>51</v>
      </c>
      <c r="C24" s="234">
        <f>EconomiaT43!C12</f>
        <v>475061</v>
      </c>
      <c r="D24" s="424">
        <f t="shared" si="3"/>
        <v>8.5041474861602476E-3</v>
      </c>
      <c r="E24" s="307" t="s">
        <v>30</v>
      </c>
      <c r="F24" s="428">
        <f>EconomiaT43!C16</f>
        <v>384755</v>
      </c>
      <c r="G24" s="272">
        <f>F24/$F$34</f>
        <v>6.8875644728520887E-3</v>
      </c>
      <c r="I24" s="187" t="s">
        <v>1006</v>
      </c>
      <c r="J24" s="336" t="s">
        <v>1685</v>
      </c>
      <c r="K24" s="333">
        <v>816000</v>
      </c>
      <c r="L24" s="333"/>
      <c r="M24" s="333">
        <v>0</v>
      </c>
      <c r="N24" s="333">
        <v>0</v>
      </c>
      <c r="O24" s="343">
        <f t="shared" si="0"/>
        <v>0</v>
      </c>
      <c r="P24" s="333">
        <f t="shared" si="1"/>
        <v>816000</v>
      </c>
      <c r="Q24" s="403"/>
      <c r="R24" s="347">
        <v>41624</v>
      </c>
      <c r="S24" s="347"/>
      <c r="T24" s="344"/>
    </row>
    <row r="25" spans="2:23" x14ac:dyDescent="0.25">
      <c r="B25" s="233" t="s">
        <v>0</v>
      </c>
      <c r="C25" s="234">
        <f>EconomiaT43!C6</f>
        <v>4417516</v>
      </c>
      <c r="D25" s="424">
        <f t="shared" si="3"/>
        <v>7.9078702706542256E-2</v>
      </c>
      <c r="E25" s="307" t="s">
        <v>11</v>
      </c>
      <c r="F25" s="428">
        <f>EconomiaT43!C20</f>
        <v>0</v>
      </c>
      <c r="G25" s="272">
        <f>F25/$F$34</f>
        <v>0</v>
      </c>
      <c r="I25" s="334" t="s">
        <v>1006</v>
      </c>
      <c r="J25" s="337" t="s">
        <v>1732</v>
      </c>
      <c r="K25" s="335">
        <v>800000</v>
      </c>
      <c r="L25" s="335"/>
      <c r="M25" s="335">
        <v>313000</v>
      </c>
      <c r="N25" s="335">
        <f>M25-291090</f>
        <v>21910</v>
      </c>
      <c r="O25" s="335">
        <f t="shared" si="0"/>
        <v>-508910</v>
      </c>
      <c r="P25" s="335">
        <f t="shared" si="1"/>
        <v>0</v>
      </c>
      <c r="Q25" s="405">
        <f>O25/K25</f>
        <v>-0.63613750000000002</v>
      </c>
      <c r="R25" s="348">
        <v>41491</v>
      </c>
      <c r="S25" s="348">
        <v>41783</v>
      </c>
      <c r="T25" s="353">
        <f>O25/((S25-R25)/7)</f>
        <v>-12199.897260273972</v>
      </c>
    </row>
    <row r="26" spans="2:23" x14ac:dyDescent="0.25">
      <c r="B26" s="233" t="s">
        <v>2</v>
      </c>
      <c r="C26" s="234">
        <f>EconomiaT43!C7</f>
        <v>1965334</v>
      </c>
      <c r="D26" s="424">
        <f t="shared" si="3"/>
        <v>3.5181777067713964E-2</v>
      </c>
      <c r="E26" s="226"/>
      <c r="F26" s="242"/>
      <c r="G26" s="271"/>
      <c r="I26" s="187" t="s">
        <v>1006</v>
      </c>
      <c r="J26" s="336" t="s">
        <v>1780</v>
      </c>
      <c r="K26" s="333">
        <v>791000</v>
      </c>
      <c r="L26" s="333">
        <v>33504</v>
      </c>
      <c r="M26" s="333">
        <v>0</v>
      </c>
      <c r="N26" s="333">
        <v>0</v>
      </c>
      <c r="O26" s="343">
        <f t="shared" si="0"/>
        <v>0</v>
      </c>
      <c r="P26" s="333">
        <f t="shared" si="1"/>
        <v>791000</v>
      </c>
      <c r="Q26" s="403"/>
      <c r="R26" s="347">
        <v>41821</v>
      </c>
      <c r="S26" s="347"/>
      <c r="T26" s="344"/>
    </row>
    <row r="27" spans="2:23" x14ac:dyDescent="0.25">
      <c r="B27" s="233" t="s">
        <v>5</v>
      </c>
      <c r="C27" s="234">
        <f>EconomiaT43!C10</f>
        <v>223115</v>
      </c>
      <c r="D27" s="424">
        <f t="shared" si="3"/>
        <v>3.994019434082452E-3</v>
      </c>
      <c r="E27" s="226" t="s">
        <v>1601</v>
      </c>
      <c r="F27" s="242">
        <f>SUM(F28:F33)</f>
        <v>6315475</v>
      </c>
      <c r="G27" s="271">
        <f t="shared" ref="G27:G33" si="4">F27/$F$34</f>
        <v>0.11305438847886459</v>
      </c>
      <c r="I27" s="187" t="s">
        <v>1006</v>
      </c>
      <c r="J27" s="336" t="s">
        <v>1339</v>
      </c>
      <c r="K27" s="333">
        <v>785000</v>
      </c>
      <c r="L27" s="333"/>
      <c r="M27" s="333">
        <v>0</v>
      </c>
      <c r="N27" s="333">
        <v>0</v>
      </c>
      <c r="O27" s="343">
        <f t="shared" si="0"/>
        <v>0</v>
      </c>
      <c r="P27" s="333">
        <f t="shared" si="1"/>
        <v>785000</v>
      </c>
      <c r="Q27" s="403"/>
      <c r="R27" s="347">
        <v>41325</v>
      </c>
      <c r="S27" s="347"/>
      <c r="T27" s="344"/>
    </row>
    <row r="28" spans="2:23" x14ac:dyDescent="0.25">
      <c r="B28" s="226"/>
      <c r="C28" s="242"/>
      <c r="D28" s="304"/>
      <c r="E28" s="307" t="s">
        <v>882</v>
      </c>
      <c r="F28" s="428">
        <f>EconomiaT43!C14</f>
        <v>4423408</v>
      </c>
      <c r="G28" s="272">
        <f t="shared" si="4"/>
        <v>7.9184176397265049E-2</v>
      </c>
      <c r="I28" s="334" t="s">
        <v>1006</v>
      </c>
      <c r="J28" s="337" t="s">
        <v>1325</v>
      </c>
      <c r="K28" s="335">
        <v>761000</v>
      </c>
      <c r="L28" s="335"/>
      <c r="M28" s="335">
        <v>128000</v>
      </c>
      <c r="N28" s="335">
        <f>M28-119040</f>
        <v>8960</v>
      </c>
      <c r="O28" s="335">
        <f t="shared" si="0"/>
        <v>-641960</v>
      </c>
      <c r="P28" s="335">
        <f t="shared" si="1"/>
        <v>0</v>
      </c>
      <c r="Q28" s="405">
        <f>O28/K28</f>
        <v>-0.84357424441524309</v>
      </c>
      <c r="R28" s="348">
        <v>41323</v>
      </c>
      <c r="S28" s="348">
        <v>41772</v>
      </c>
      <c r="T28" s="353">
        <f>O28/((S28-R28)/7)</f>
        <v>-10008.285077951003</v>
      </c>
    </row>
    <row r="29" spans="2:23" x14ac:dyDescent="0.25">
      <c r="B29" s="226" t="s">
        <v>1200</v>
      </c>
      <c r="C29" s="242">
        <f>EconomiaT43!S24</f>
        <v>917217</v>
      </c>
      <c r="D29" s="304">
        <f>C29/$C$34</f>
        <v>1.6419256989762248E-2</v>
      </c>
      <c r="E29" s="307" t="s">
        <v>29</v>
      </c>
      <c r="F29" s="428">
        <f>EconomiaT43!C15</f>
        <v>521267</v>
      </c>
      <c r="G29" s="272">
        <f t="shared" si="4"/>
        <v>9.331288924302971E-3</v>
      </c>
      <c r="I29" s="334" t="s">
        <v>1006</v>
      </c>
      <c r="J29" s="337" t="s">
        <v>1620</v>
      </c>
      <c r="K29" s="335">
        <v>633420</v>
      </c>
      <c r="L29" s="335"/>
      <c r="M29" s="335">
        <v>199995</v>
      </c>
      <c r="N29" s="335">
        <f>M29-185995</f>
        <v>14000</v>
      </c>
      <c r="O29" s="335">
        <f t="shared" si="0"/>
        <v>-447425</v>
      </c>
      <c r="P29" s="335">
        <f t="shared" si="1"/>
        <v>0</v>
      </c>
      <c r="Q29" s="405">
        <f>O29/K29</f>
        <v>-0.70636386599728462</v>
      </c>
      <c r="R29" s="348">
        <v>41515</v>
      </c>
      <c r="S29" s="348">
        <v>41776</v>
      </c>
      <c r="T29" s="353">
        <f>O29/((S29-R29)/7)</f>
        <v>-11999.904214559387</v>
      </c>
    </row>
    <row r="30" spans="2:23" x14ac:dyDescent="0.25">
      <c r="B30" s="226"/>
      <c r="C30" s="242"/>
      <c r="D30" s="304"/>
      <c r="E30" s="307" t="s">
        <v>6</v>
      </c>
      <c r="F30" s="428">
        <f>EconomiaT43!C17</f>
        <v>886800</v>
      </c>
      <c r="G30" s="272">
        <f t="shared" si="4"/>
        <v>1.5874757116932158E-2</v>
      </c>
      <c r="I30" s="187" t="s">
        <v>1004</v>
      </c>
      <c r="J30" s="336" t="s">
        <v>1765</v>
      </c>
      <c r="K30" s="333">
        <v>595000</v>
      </c>
      <c r="L30" s="333">
        <v>1830</v>
      </c>
      <c r="M30" s="333">
        <v>0</v>
      </c>
      <c r="N30" s="333">
        <v>0</v>
      </c>
      <c r="O30" s="343">
        <f t="shared" si="0"/>
        <v>0</v>
      </c>
      <c r="P30" s="333">
        <f t="shared" si="1"/>
        <v>595000</v>
      </c>
      <c r="Q30" s="403"/>
      <c r="R30" s="347">
        <v>41798</v>
      </c>
      <c r="S30" s="347"/>
      <c r="T30" s="344"/>
    </row>
    <row r="31" spans="2:23" x14ac:dyDescent="0.25">
      <c r="B31" s="226"/>
      <c r="C31" s="242"/>
      <c r="D31" s="304"/>
      <c r="E31" s="307" t="s">
        <v>8</v>
      </c>
      <c r="F31" s="428">
        <f>EconomiaT43!C18</f>
        <v>320000</v>
      </c>
      <c r="G31" s="272">
        <f t="shared" si="4"/>
        <v>5.7283742415632508E-3</v>
      </c>
      <c r="I31" s="34" t="s">
        <v>1198</v>
      </c>
      <c r="J31" s="345" t="s">
        <v>1708</v>
      </c>
      <c r="K31" s="278">
        <v>458000</v>
      </c>
      <c r="L31" s="278"/>
      <c r="M31" s="278">
        <v>0</v>
      </c>
      <c r="N31" s="278">
        <v>0</v>
      </c>
      <c r="O31" s="278">
        <f t="shared" si="0"/>
        <v>0</v>
      </c>
      <c r="P31" s="278">
        <v>0</v>
      </c>
      <c r="Q31" s="404"/>
      <c r="R31" s="352"/>
      <c r="S31" s="352"/>
      <c r="T31" s="351"/>
    </row>
    <row r="32" spans="2:23" x14ac:dyDescent="0.25">
      <c r="B32" s="226"/>
      <c r="C32" s="242"/>
      <c r="D32" s="304"/>
      <c r="E32" s="307" t="s">
        <v>818</v>
      </c>
      <c r="F32" s="428">
        <f>EconomiaT43!C21</f>
        <v>164000</v>
      </c>
      <c r="G32" s="272">
        <f t="shared" si="4"/>
        <v>2.9357917988011659E-3</v>
      </c>
      <c r="I32" s="187" t="s">
        <v>1005</v>
      </c>
      <c r="J32" s="336" t="s">
        <v>1794</v>
      </c>
      <c r="K32" s="333">
        <v>21000</v>
      </c>
      <c r="L32" s="333">
        <v>990</v>
      </c>
      <c r="M32" s="333">
        <v>0</v>
      </c>
      <c r="N32" s="333">
        <v>0</v>
      </c>
      <c r="O32" s="343">
        <f t="shared" si="0"/>
        <v>0</v>
      </c>
      <c r="P32" s="333">
        <f t="shared" ref="P32:P78" si="5">IF(M32=0,K32,0)</f>
        <v>21000</v>
      </c>
      <c r="Q32" s="403"/>
      <c r="R32" s="347">
        <v>41836</v>
      </c>
      <c r="S32" s="347"/>
      <c r="T32" s="344"/>
    </row>
    <row r="33" spans="2:20" x14ac:dyDescent="0.25">
      <c r="B33" s="230"/>
      <c r="C33" s="229"/>
      <c r="D33" s="304"/>
      <c r="E33" s="431" t="s">
        <v>10</v>
      </c>
      <c r="F33" s="432">
        <f>EconomiaT43!C22</f>
        <v>0</v>
      </c>
      <c r="G33" s="430">
        <f t="shared" si="4"/>
        <v>0</v>
      </c>
      <c r="I33" s="187" t="s">
        <v>1005</v>
      </c>
      <c r="J33" s="336" t="s">
        <v>1816</v>
      </c>
      <c r="K33" s="333">
        <v>100000</v>
      </c>
      <c r="L33" s="333">
        <v>1164</v>
      </c>
      <c r="M33" s="333">
        <v>0</v>
      </c>
      <c r="N33" s="333">
        <v>0</v>
      </c>
      <c r="O33" s="343">
        <f t="shared" si="0"/>
        <v>0</v>
      </c>
      <c r="P33" s="333">
        <f t="shared" si="5"/>
        <v>100000</v>
      </c>
      <c r="Q33" s="403"/>
      <c r="R33" s="347">
        <v>41838</v>
      </c>
      <c r="S33" s="347"/>
      <c r="T33" s="344"/>
    </row>
    <row r="34" spans="2:20" ht="18.75" x14ac:dyDescent="0.3">
      <c r="B34" s="239" t="s">
        <v>291</v>
      </c>
      <c r="C34" s="240">
        <f>C22+C17+C11+C6+C29</f>
        <v>55862272</v>
      </c>
      <c r="D34" s="43">
        <f>C34/$C$34</f>
        <v>1</v>
      </c>
      <c r="E34" s="366" t="s">
        <v>291</v>
      </c>
      <c r="F34" s="367">
        <f>F27+F19+F11+F6+F23</f>
        <v>55862272</v>
      </c>
      <c r="G34" s="43">
        <f>F34/$F$34</f>
        <v>1</v>
      </c>
      <c r="I34" s="187" t="s">
        <v>1005</v>
      </c>
      <c r="J34" s="336" t="s">
        <v>1797</v>
      </c>
      <c r="K34" s="333">
        <v>95000</v>
      </c>
      <c r="L34" s="333">
        <v>1284</v>
      </c>
      <c r="M34" s="333">
        <v>0</v>
      </c>
      <c r="N34" s="333">
        <v>0</v>
      </c>
      <c r="O34" s="343">
        <f t="shared" si="0"/>
        <v>0</v>
      </c>
      <c r="P34" s="333">
        <f t="shared" si="5"/>
        <v>95000</v>
      </c>
      <c r="Q34" s="403"/>
      <c r="R34" s="347">
        <v>41836</v>
      </c>
      <c r="S34" s="347"/>
      <c r="T34" s="344"/>
    </row>
    <row r="35" spans="2:20" x14ac:dyDescent="0.25">
      <c r="F35" s="417">
        <f>F34-C34</f>
        <v>0</v>
      </c>
      <c r="I35" s="187" t="s">
        <v>1005</v>
      </c>
      <c r="J35" s="336" t="s">
        <v>1783</v>
      </c>
      <c r="K35" s="333">
        <v>71000</v>
      </c>
      <c r="L35" s="333">
        <v>1836</v>
      </c>
      <c r="M35" s="333">
        <v>0</v>
      </c>
      <c r="N35" s="333">
        <v>0</v>
      </c>
      <c r="O35" s="343">
        <f t="shared" si="0"/>
        <v>0</v>
      </c>
      <c r="P35" s="333">
        <f t="shared" si="5"/>
        <v>71000</v>
      </c>
      <c r="Q35" s="403"/>
      <c r="R35" s="347">
        <v>41834</v>
      </c>
      <c r="S35" s="347"/>
      <c r="T35" s="344"/>
    </row>
    <row r="36" spans="2:20" x14ac:dyDescent="0.25">
      <c r="I36" s="334" t="s">
        <v>1004</v>
      </c>
      <c r="J36" s="337" t="s">
        <v>1577</v>
      </c>
      <c r="K36" s="335">
        <v>50000</v>
      </c>
      <c r="L36" s="335"/>
      <c r="M36" s="335">
        <v>245000</v>
      </c>
      <c r="N36" s="335">
        <f>M36-227850</f>
        <v>17150</v>
      </c>
      <c r="O36" s="335">
        <f t="shared" ref="O36:O67" si="6">IF(M36=0,0,M36-K36)-N36</f>
        <v>177850</v>
      </c>
      <c r="P36" s="335">
        <f t="shared" si="5"/>
        <v>0</v>
      </c>
      <c r="Q36" s="405">
        <f>O36/K36</f>
        <v>3.5569999999999999</v>
      </c>
      <c r="R36" s="348">
        <v>41387</v>
      </c>
      <c r="S36" s="348">
        <v>41771</v>
      </c>
      <c r="T36" s="353">
        <f>O36/((S36-R36)/7)</f>
        <v>3242.057291666667</v>
      </c>
    </row>
    <row r="37" spans="2:20" x14ac:dyDescent="0.25">
      <c r="I37" s="334" t="s">
        <v>1005</v>
      </c>
      <c r="J37" s="337" t="s">
        <v>1701</v>
      </c>
      <c r="K37" s="335">
        <v>49000</v>
      </c>
      <c r="L37" s="335"/>
      <c r="M37" s="335">
        <v>6000</v>
      </c>
      <c r="N37" s="335">
        <f>M37-5514</f>
        <v>486</v>
      </c>
      <c r="O37" s="335">
        <f t="shared" si="6"/>
        <v>-43486</v>
      </c>
      <c r="P37" s="335">
        <f t="shared" si="5"/>
        <v>0</v>
      </c>
      <c r="Q37" s="405">
        <f>O37/K37</f>
        <v>-0.88746938775510209</v>
      </c>
      <c r="R37" s="348">
        <v>41729</v>
      </c>
      <c r="S37" s="348">
        <v>41811</v>
      </c>
      <c r="T37" s="353">
        <f>O37/((S37-R37)/7)</f>
        <v>-3712.2195121951222</v>
      </c>
    </row>
    <row r="38" spans="2:20" x14ac:dyDescent="0.25">
      <c r="H38" s="225"/>
      <c r="I38" s="334" t="s">
        <v>1005</v>
      </c>
      <c r="J38" s="337" t="s">
        <v>1705</v>
      </c>
      <c r="K38" s="335">
        <v>42000</v>
      </c>
      <c r="L38" s="335"/>
      <c r="M38" s="335">
        <v>55000</v>
      </c>
      <c r="N38" s="335">
        <f>M38-50067</f>
        <v>4933</v>
      </c>
      <c r="O38" s="335">
        <f t="shared" si="6"/>
        <v>8067</v>
      </c>
      <c r="P38" s="335">
        <f t="shared" si="5"/>
        <v>0</v>
      </c>
      <c r="Q38" s="405">
        <f>O38/K38</f>
        <v>0.19207142857142856</v>
      </c>
      <c r="R38" s="348">
        <v>41733</v>
      </c>
      <c r="S38" s="348">
        <v>41797</v>
      </c>
      <c r="T38" s="353">
        <f>O38/((S38-R38)/7)</f>
        <v>882.328125</v>
      </c>
    </row>
    <row r="39" spans="2:20" x14ac:dyDescent="0.25">
      <c r="I39" s="334" t="s">
        <v>1005</v>
      </c>
      <c r="J39" s="337" t="s">
        <v>1698</v>
      </c>
      <c r="K39" s="335">
        <v>40000</v>
      </c>
      <c r="L39" s="335"/>
      <c r="M39" s="335">
        <v>61200</v>
      </c>
      <c r="N39" s="335">
        <f>M39-54444</f>
        <v>6756</v>
      </c>
      <c r="O39" s="335">
        <f t="shared" si="6"/>
        <v>14444</v>
      </c>
      <c r="P39" s="335">
        <f t="shared" si="5"/>
        <v>0</v>
      </c>
      <c r="Q39" s="405">
        <f>O39/K39</f>
        <v>0.36109999999999998</v>
      </c>
      <c r="R39" s="348">
        <v>41722</v>
      </c>
      <c r="S39" s="348">
        <v>41754</v>
      </c>
      <c r="T39" s="353">
        <f>O39/((S39-R39)/7)</f>
        <v>3159.625</v>
      </c>
    </row>
    <row r="40" spans="2:20" x14ac:dyDescent="0.25">
      <c r="C40" s="129"/>
      <c r="E40" s="30"/>
      <c r="I40" s="334" t="s">
        <v>1005</v>
      </c>
      <c r="J40" s="337" t="s">
        <v>1715</v>
      </c>
      <c r="K40" s="335">
        <v>40000</v>
      </c>
      <c r="L40" s="335"/>
      <c r="M40" s="335">
        <v>79000</v>
      </c>
      <c r="N40" s="335">
        <f>M40-69465</f>
        <v>9535</v>
      </c>
      <c r="O40" s="335">
        <f t="shared" si="6"/>
        <v>29465</v>
      </c>
      <c r="P40" s="335">
        <f t="shared" si="5"/>
        <v>0</v>
      </c>
      <c r="Q40" s="405">
        <f>O40/K40</f>
        <v>0.73662499999999997</v>
      </c>
      <c r="R40" s="348">
        <v>41613</v>
      </c>
      <c r="S40" s="348">
        <v>41758</v>
      </c>
      <c r="T40" s="353">
        <f>O40/((S40-R40)/7)</f>
        <v>1422.4482758620688</v>
      </c>
    </row>
    <row r="41" spans="2:20" x14ac:dyDescent="0.25">
      <c r="E41" s="30"/>
      <c r="I41" s="187" t="s">
        <v>1005</v>
      </c>
      <c r="J41" s="336" t="s">
        <v>1784</v>
      </c>
      <c r="K41" s="333">
        <v>39000</v>
      </c>
      <c r="L41" s="333">
        <v>852</v>
      </c>
      <c r="M41" s="333">
        <v>0</v>
      </c>
      <c r="N41" s="333">
        <v>0</v>
      </c>
      <c r="O41" s="343">
        <f t="shared" si="6"/>
        <v>0</v>
      </c>
      <c r="P41" s="333">
        <f t="shared" si="5"/>
        <v>39000</v>
      </c>
      <c r="Q41" s="403"/>
      <c r="R41" s="347">
        <v>41834</v>
      </c>
      <c r="S41" s="347"/>
      <c r="T41" s="344"/>
    </row>
    <row r="42" spans="2:20" x14ac:dyDescent="0.25">
      <c r="I42" s="334" t="s">
        <v>1005</v>
      </c>
      <c r="J42" s="337" t="s">
        <v>1384</v>
      </c>
      <c r="K42" s="335">
        <v>36000</v>
      </c>
      <c r="L42" s="335"/>
      <c r="M42" s="335">
        <v>51000</v>
      </c>
      <c r="N42" s="335">
        <f>M42-46257</f>
        <v>4743</v>
      </c>
      <c r="O42" s="335">
        <f t="shared" si="6"/>
        <v>10257</v>
      </c>
      <c r="P42" s="335">
        <f t="shared" si="5"/>
        <v>0</v>
      </c>
      <c r="Q42" s="405">
        <f>O42/K42</f>
        <v>0.28491666666666665</v>
      </c>
      <c r="R42" s="348">
        <v>41732</v>
      </c>
      <c r="S42" s="348">
        <v>41790</v>
      </c>
      <c r="T42" s="353">
        <f>O42/((S42-R42)/7)</f>
        <v>1237.9137931034481</v>
      </c>
    </row>
    <row r="43" spans="2:20" ht="14.25" customHeight="1" x14ac:dyDescent="0.25">
      <c r="I43" s="187" t="s">
        <v>1005</v>
      </c>
      <c r="J43" s="336" t="s">
        <v>1786</v>
      </c>
      <c r="K43" s="333">
        <v>35000</v>
      </c>
      <c r="L43" s="333">
        <v>948</v>
      </c>
      <c r="M43" s="333">
        <v>0</v>
      </c>
      <c r="N43" s="333">
        <v>0</v>
      </c>
      <c r="O43" s="343">
        <f t="shared" si="6"/>
        <v>0</v>
      </c>
      <c r="P43" s="333">
        <f t="shared" si="5"/>
        <v>35000</v>
      </c>
      <c r="Q43" s="403"/>
      <c r="R43" s="347">
        <v>41835</v>
      </c>
      <c r="S43" s="347"/>
      <c r="T43" s="344"/>
    </row>
    <row r="44" spans="2:20" s="2" customFormat="1" x14ac:dyDescent="0.25">
      <c r="B44" s="212"/>
      <c r="C44" s="212"/>
      <c r="D44" s="212"/>
      <c r="F44" s="212"/>
      <c r="G44" s="212"/>
      <c r="I44" s="187" t="s">
        <v>1005</v>
      </c>
      <c r="J44" s="336" t="s">
        <v>1787</v>
      </c>
      <c r="K44" s="333">
        <v>35000</v>
      </c>
      <c r="L44" s="333">
        <v>660</v>
      </c>
      <c r="M44" s="333">
        <v>0</v>
      </c>
      <c r="N44" s="333">
        <v>0</v>
      </c>
      <c r="O44" s="343">
        <f t="shared" si="6"/>
        <v>0</v>
      </c>
      <c r="P44" s="333">
        <f t="shared" si="5"/>
        <v>35000</v>
      </c>
      <c r="Q44" s="403"/>
      <c r="R44" s="347">
        <v>41835</v>
      </c>
      <c r="S44" s="347"/>
      <c r="T44" s="344"/>
    </row>
    <row r="45" spans="2:20" x14ac:dyDescent="0.25">
      <c r="I45" s="187" t="s">
        <v>1005</v>
      </c>
      <c r="J45" s="336" t="s">
        <v>1790</v>
      </c>
      <c r="K45" s="333">
        <v>35000</v>
      </c>
      <c r="L45" s="333">
        <v>924</v>
      </c>
      <c r="M45" s="333">
        <v>0</v>
      </c>
      <c r="N45" s="333">
        <v>0</v>
      </c>
      <c r="O45" s="343">
        <f t="shared" si="6"/>
        <v>0</v>
      </c>
      <c r="P45" s="333">
        <f t="shared" si="5"/>
        <v>35000</v>
      </c>
      <c r="Q45" s="403"/>
      <c r="R45" s="347">
        <v>41835</v>
      </c>
      <c r="S45" s="347"/>
      <c r="T45" s="344"/>
    </row>
    <row r="46" spans="2:20" x14ac:dyDescent="0.25">
      <c r="I46" s="187" t="s">
        <v>1005</v>
      </c>
      <c r="J46" s="336" t="s">
        <v>1813</v>
      </c>
      <c r="K46" s="333">
        <v>35000</v>
      </c>
      <c r="L46" s="333">
        <v>924</v>
      </c>
      <c r="M46" s="333">
        <v>0</v>
      </c>
      <c r="N46" s="333">
        <v>0</v>
      </c>
      <c r="O46" s="343">
        <f t="shared" si="6"/>
        <v>0</v>
      </c>
      <c r="P46" s="333">
        <f t="shared" si="5"/>
        <v>35000</v>
      </c>
      <c r="Q46" s="403"/>
      <c r="R46" s="347">
        <v>41836</v>
      </c>
      <c r="S46" s="347"/>
      <c r="T46" s="344"/>
    </row>
    <row r="47" spans="2:20" x14ac:dyDescent="0.25">
      <c r="E47" s="225"/>
      <c r="I47" s="187" t="s">
        <v>1005</v>
      </c>
      <c r="J47" s="336" t="s">
        <v>1817</v>
      </c>
      <c r="K47" s="333">
        <v>35000</v>
      </c>
      <c r="L47" s="333">
        <v>924</v>
      </c>
      <c r="M47" s="333">
        <v>0</v>
      </c>
      <c r="N47" s="333">
        <v>0</v>
      </c>
      <c r="O47" s="343">
        <f t="shared" si="6"/>
        <v>0</v>
      </c>
      <c r="P47" s="333">
        <f t="shared" si="5"/>
        <v>35000</v>
      </c>
      <c r="Q47" s="403"/>
      <c r="R47" s="347">
        <v>41840</v>
      </c>
      <c r="S47" s="347"/>
      <c r="T47" s="344"/>
    </row>
    <row r="48" spans="2:20" x14ac:dyDescent="0.25">
      <c r="I48" s="187" t="s">
        <v>1005</v>
      </c>
      <c r="J48" s="336" t="s">
        <v>1788</v>
      </c>
      <c r="K48" s="333">
        <v>34500</v>
      </c>
      <c r="L48" s="333">
        <v>828</v>
      </c>
      <c r="M48" s="333">
        <v>0</v>
      </c>
      <c r="N48" s="333">
        <v>0</v>
      </c>
      <c r="O48" s="343">
        <f t="shared" si="6"/>
        <v>0</v>
      </c>
      <c r="P48" s="333">
        <f t="shared" si="5"/>
        <v>34500</v>
      </c>
      <c r="Q48" s="403"/>
      <c r="R48" s="347">
        <v>41835</v>
      </c>
      <c r="S48" s="347"/>
      <c r="T48" s="344"/>
    </row>
    <row r="49" spans="9:20" x14ac:dyDescent="0.25">
      <c r="I49" s="334" t="s">
        <v>1005</v>
      </c>
      <c r="J49" s="337" t="s">
        <v>1725</v>
      </c>
      <c r="K49" s="335">
        <v>33000</v>
      </c>
      <c r="L49" s="335"/>
      <c r="M49" s="335">
        <v>2000</v>
      </c>
      <c r="N49" s="335">
        <f>M49-1829</f>
        <v>171</v>
      </c>
      <c r="O49" s="335">
        <f t="shared" si="6"/>
        <v>-31171</v>
      </c>
      <c r="P49" s="335">
        <f t="shared" si="5"/>
        <v>0</v>
      </c>
      <c r="Q49" s="405">
        <f>O49/K49</f>
        <v>-0.94457575757575762</v>
      </c>
      <c r="R49" s="348">
        <v>41739</v>
      </c>
      <c r="S49" s="348">
        <v>41811</v>
      </c>
      <c r="T49" s="353">
        <f>O49/((S49-R49)/7)</f>
        <v>-3030.5138888888887</v>
      </c>
    </row>
    <row r="50" spans="9:20" x14ac:dyDescent="0.25">
      <c r="I50" s="334" t="s">
        <v>1005</v>
      </c>
      <c r="J50" s="337" t="s">
        <v>1716</v>
      </c>
      <c r="K50" s="335">
        <v>31000</v>
      </c>
      <c r="L50" s="335"/>
      <c r="M50" s="335">
        <v>51000</v>
      </c>
      <c r="N50" s="335">
        <f>M50-46527</f>
        <v>4473</v>
      </c>
      <c r="O50" s="335">
        <f t="shared" si="6"/>
        <v>15527</v>
      </c>
      <c r="P50" s="335">
        <f t="shared" si="5"/>
        <v>0</v>
      </c>
      <c r="Q50" s="405">
        <f>O50/K50</f>
        <v>0.50087096774193551</v>
      </c>
      <c r="R50" s="348">
        <v>41736</v>
      </c>
      <c r="S50" s="348">
        <v>41804</v>
      </c>
      <c r="T50" s="353">
        <f>O50/((S50-R50)/7)</f>
        <v>1598.3676470588236</v>
      </c>
    </row>
    <row r="51" spans="9:20" x14ac:dyDescent="0.25">
      <c r="I51" s="334" t="s">
        <v>1005</v>
      </c>
      <c r="J51" s="337" t="s">
        <v>1717</v>
      </c>
      <c r="K51" s="335">
        <v>30000</v>
      </c>
      <c r="L51" s="335"/>
      <c r="M51" s="335">
        <v>97920</v>
      </c>
      <c r="N51" s="335">
        <f>M51-85083</f>
        <v>12837</v>
      </c>
      <c r="O51" s="335">
        <f t="shared" si="6"/>
        <v>55083</v>
      </c>
      <c r="P51" s="335">
        <f t="shared" si="5"/>
        <v>0</v>
      </c>
      <c r="Q51" s="405">
        <f>O51/K51</f>
        <v>1.8361000000000001</v>
      </c>
      <c r="R51" s="348">
        <v>41738</v>
      </c>
      <c r="S51" s="348">
        <v>41750</v>
      </c>
      <c r="T51" s="353">
        <f>O51/((S51-R51)/7)</f>
        <v>32131.75</v>
      </c>
    </row>
    <row r="52" spans="9:20" x14ac:dyDescent="0.25">
      <c r="I52" s="334" t="s">
        <v>1005</v>
      </c>
      <c r="J52" s="337" t="s">
        <v>1723</v>
      </c>
      <c r="K52" s="335">
        <v>30000</v>
      </c>
      <c r="L52" s="335"/>
      <c r="M52" s="335">
        <v>53000</v>
      </c>
      <c r="N52" s="335">
        <f>M52-47398</f>
        <v>5602</v>
      </c>
      <c r="O52" s="335">
        <f t="shared" si="6"/>
        <v>17398</v>
      </c>
      <c r="P52" s="335">
        <f t="shared" si="5"/>
        <v>0</v>
      </c>
      <c r="Q52" s="405">
        <f>O52/K52</f>
        <v>0.5799333333333333</v>
      </c>
      <c r="R52" s="348">
        <v>41738</v>
      </c>
      <c r="S52" s="348">
        <v>41776</v>
      </c>
      <c r="T52" s="353">
        <f>O52/((S52-R52)/7)</f>
        <v>3204.894736842105</v>
      </c>
    </row>
    <row r="53" spans="9:20" x14ac:dyDescent="0.25">
      <c r="I53" s="187" t="s">
        <v>1005</v>
      </c>
      <c r="J53" s="336" t="s">
        <v>1785</v>
      </c>
      <c r="K53" s="333">
        <v>30000</v>
      </c>
      <c r="L53" s="333">
        <v>780</v>
      </c>
      <c r="M53" s="333">
        <v>0</v>
      </c>
      <c r="N53" s="333">
        <v>0</v>
      </c>
      <c r="O53" s="343">
        <f t="shared" si="6"/>
        <v>0</v>
      </c>
      <c r="P53" s="333">
        <f t="shared" si="5"/>
        <v>30000</v>
      </c>
      <c r="Q53" s="403"/>
      <c r="R53" s="347">
        <v>41835</v>
      </c>
      <c r="S53" s="347"/>
      <c r="T53" s="344"/>
    </row>
    <row r="54" spans="9:20" x14ac:dyDescent="0.25">
      <c r="I54" s="187" t="s">
        <v>1005</v>
      </c>
      <c r="J54" s="336" t="s">
        <v>1818</v>
      </c>
      <c r="K54" s="333">
        <v>30000</v>
      </c>
      <c r="L54" s="333">
        <v>708</v>
      </c>
      <c r="M54" s="333">
        <v>0</v>
      </c>
      <c r="N54" s="333">
        <v>0</v>
      </c>
      <c r="O54" s="343">
        <f t="shared" si="6"/>
        <v>0</v>
      </c>
      <c r="P54" s="333">
        <f t="shared" si="5"/>
        <v>30000</v>
      </c>
      <c r="Q54" s="403"/>
      <c r="R54" s="347">
        <v>41841</v>
      </c>
      <c r="S54" s="347"/>
      <c r="T54" s="344"/>
    </row>
    <row r="55" spans="9:20" x14ac:dyDescent="0.25">
      <c r="I55" s="334" t="s">
        <v>1005</v>
      </c>
      <c r="J55" s="337" t="s">
        <v>1714</v>
      </c>
      <c r="K55" s="335">
        <v>29000</v>
      </c>
      <c r="L55" s="335"/>
      <c r="M55" s="335">
        <v>101000</v>
      </c>
      <c r="N55" s="335">
        <f>M55-90880</f>
        <v>10120</v>
      </c>
      <c r="O55" s="335">
        <f t="shared" si="6"/>
        <v>61880</v>
      </c>
      <c r="P55" s="335">
        <f t="shared" si="5"/>
        <v>0</v>
      </c>
      <c r="Q55" s="405">
        <f>O55/K55</f>
        <v>2.133793103448276</v>
      </c>
      <c r="R55" s="348">
        <v>41737</v>
      </c>
      <c r="S55" s="348">
        <v>41783</v>
      </c>
      <c r="T55" s="353">
        <f>O55/((S55-R55)/7)</f>
        <v>9416.5217391304359</v>
      </c>
    </row>
    <row r="56" spans="9:20" x14ac:dyDescent="0.25">
      <c r="I56" s="334" t="s">
        <v>1005</v>
      </c>
      <c r="J56" s="337" t="s">
        <v>1703</v>
      </c>
      <c r="K56" s="335">
        <v>28000</v>
      </c>
      <c r="L56" s="335"/>
      <c r="M56" s="335">
        <v>79000</v>
      </c>
      <c r="N56" s="335">
        <f>M56-70215</f>
        <v>8785</v>
      </c>
      <c r="O56" s="335">
        <f t="shared" si="6"/>
        <v>42215</v>
      </c>
      <c r="P56" s="335">
        <f t="shared" si="5"/>
        <v>0</v>
      </c>
      <c r="Q56" s="405">
        <f>O56/K56</f>
        <v>1.5076785714285714</v>
      </c>
      <c r="R56" s="348">
        <v>41731</v>
      </c>
      <c r="S56" s="348">
        <v>41789</v>
      </c>
      <c r="T56" s="353">
        <f>O56/((S56-R56)/7)</f>
        <v>5094.9137931034475</v>
      </c>
    </row>
    <row r="57" spans="9:20" x14ac:dyDescent="0.25">
      <c r="I57" s="187" t="s">
        <v>1005</v>
      </c>
      <c r="J57" s="336" t="s">
        <v>1820</v>
      </c>
      <c r="K57" s="333">
        <v>27000</v>
      </c>
      <c r="L57" s="333">
        <v>430</v>
      </c>
      <c r="M57" s="333">
        <v>0</v>
      </c>
      <c r="N57" s="333">
        <v>0</v>
      </c>
      <c r="O57" s="343">
        <f t="shared" si="6"/>
        <v>0</v>
      </c>
      <c r="P57" s="333">
        <f t="shared" si="5"/>
        <v>27000</v>
      </c>
      <c r="Q57" s="403"/>
      <c r="R57" s="347">
        <v>41842</v>
      </c>
      <c r="S57" s="347"/>
      <c r="T57" s="344"/>
    </row>
    <row r="58" spans="9:20" x14ac:dyDescent="0.25">
      <c r="I58" s="187" t="s">
        <v>1005</v>
      </c>
      <c r="J58" s="336" t="s">
        <v>1821</v>
      </c>
      <c r="K58" s="333">
        <v>27000</v>
      </c>
      <c r="L58" s="333">
        <v>612</v>
      </c>
      <c r="M58" s="333">
        <v>0</v>
      </c>
      <c r="N58" s="333">
        <v>0</v>
      </c>
      <c r="O58" s="343">
        <f t="shared" si="6"/>
        <v>0</v>
      </c>
      <c r="P58" s="333">
        <f t="shared" si="5"/>
        <v>27000</v>
      </c>
      <c r="Q58" s="403"/>
      <c r="R58" s="347">
        <v>41842</v>
      </c>
      <c r="S58" s="347"/>
      <c r="T58" s="344"/>
    </row>
    <row r="59" spans="9:20" x14ac:dyDescent="0.25">
      <c r="I59" s="187" t="s">
        <v>1005</v>
      </c>
      <c r="J59" s="336" t="s">
        <v>1814</v>
      </c>
      <c r="K59" s="333">
        <v>26000</v>
      </c>
      <c r="L59" s="333">
        <v>1284</v>
      </c>
      <c r="M59" s="333">
        <v>0</v>
      </c>
      <c r="N59" s="333">
        <v>0</v>
      </c>
      <c r="O59" s="343">
        <f t="shared" si="6"/>
        <v>0</v>
      </c>
      <c r="P59" s="333">
        <f t="shared" si="5"/>
        <v>26000</v>
      </c>
      <c r="Q59" s="403"/>
      <c r="R59" s="347">
        <v>41838</v>
      </c>
      <c r="S59" s="347"/>
      <c r="T59" s="344"/>
    </row>
    <row r="60" spans="9:20" x14ac:dyDescent="0.25">
      <c r="I60" s="187" t="s">
        <v>1005</v>
      </c>
      <c r="J60" s="336" t="s">
        <v>1815</v>
      </c>
      <c r="K60" s="333">
        <v>26000</v>
      </c>
      <c r="L60" s="333">
        <v>972</v>
      </c>
      <c r="M60" s="333">
        <v>0</v>
      </c>
      <c r="N60" s="333">
        <v>0</v>
      </c>
      <c r="O60" s="343">
        <f t="shared" si="6"/>
        <v>0</v>
      </c>
      <c r="P60" s="333">
        <f t="shared" si="5"/>
        <v>26000</v>
      </c>
      <c r="Q60" s="403"/>
      <c r="R60" s="347">
        <v>41838</v>
      </c>
      <c r="S60" s="347"/>
      <c r="T60" s="344"/>
    </row>
    <row r="61" spans="9:20" x14ac:dyDescent="0.25">
      <c r="I61" s="334" t="s">
        <v>1005</v>
      </c>
      <c r="J61" s="337" t="s">
        <v>1697</v>
      </c>
      <c r="K61" s="335">
        <v>25000</v>
      </c>
      <c r="L61" s="335"/>
      <c r="M61" s="335">
        <v>62000</v>
      </c>
      <c r="N61" s="335">
        <f>M61-55155</f>
        <v>6845</v>
      </c>
      <c r="O61" s="335">
        <f t="shared" si="6"/>
        <v>30155</v>
      </c>
      <c r="P61" s="335">
        <f t="shared" si="5"/>
        <v>0</v>
      </c>
      <c r="Q61" s="405">
        <f>O61/K61</f>
        <v>1.2061999999999999</v>
      </c>
      <c r="R61" s="348">
        <v>41722</v>
      </c>
      <c r="S61" s="348">
        <v>41754</v>
      </c>
      <c r="T61" s="353">
        <f>O61/((S61-R61)/7)</f>
        <v>6596.40625</v>
      </c>
    </row>
    <row r="62" spans="9:20" x14ac:dyDescent="0.25">
      <c r="I62" s="334" t="s">
        <v>1005</v>
      </c>
      <c r="J62" s="337" t="s">
        <v>1702</v>
      </c>
      <c r="K62" s="335">
        <v>25000</v>
      </c>
      <c r="L62" s="335"/>
      <c r="M62" s="335">
        <v>89760</v>
      </c>
      <c r="N62" s="335">
        <f>M62-79016</f>
        <v>10744</v>
      </c>
      <c r="O62" s="335">
        <f t="shared" si="6"/>
        <v>54016</v>
      </c>
      <c r="P62" s="335">
        <f t="shared" si="5"/>
        <v>0</v>
      </c>
      <c r="Q62" s="405">
        <f>O62/K62</f>
        <v>2.1606399999999999</v>
      </c>
      <c r="R62" s="348">
        <v>41729</v>
      </c>
      <c r="S62" s="348">
        <v>41750</v>
      </c>
      <c r="T62" s="353">
        <f>O62/((S62-R62)/7)</f>
        <v>18005.333333333332</v>
      </c>
    </row>
    <row r="63" spans="9:20" x14ac:dyDescent="0.25">
      <c r="I63" s="187" t="s">
        <v>1005</v>
      </c>
      <c r="J63" s="336" t="s">
        <v>1819</v>
      </c>
      <c r="K63" s="333">
        <v>23000</v>
      </c>
      <c r="L63" s="333">
        <v>1068</v>
      </c>
      <c r="M63" s="333">
        <v>0</v>
      </c>
      <c r="N63" s="333">
        <v>0</v>
      </c>
      <c r="O63" s="343">
        <f t="shared" si="6"/>
        <v>0</v>
      </c>
      <c r="P63" s="333">
        <f t="shared" si="5"/>
        <v>23000</v>
      </c>
      <c r="Q63" s="403"/>
      <c r="R63" s="347">
        <v>41841</v>
      </c>
      <c r="S63" s="347"/>
      <c r="T63" s="344"/>
    </row>
    <row r="64" spans="9:20" x14ac:dyDescent="0.25">
      <c r="I64" s="187" t="s">
        <v>1005</v>
      </c>
      <c r="J64" s="336" t="s">
        <v>1789</v>
      </c>
      <c r="K64" s="333">
        <v>22101</v>
      </c>
      <c r="L64" s="333">
        <v>972</v>
      </c>
      <c r="M64" s="333">
        <v>0</v>
      </c>
      <c r="N64" s="333">
        <v>0</v>
      </c>
      <c r="O64" s="343">
        <f t="shared" si="6"/>
        <v>0</v>
      </c>
      <c r="P64" s="333">
        <f t="shared" si="5"/>
        <v>22101</v>
      </c>
      <c r="Q64" s="403"/>
      <c r="R64" s="347">
        <v>41835</v>
      </c>
      <c r="S64" s="347"/>
      <c r="T64" s="344"/>
    </row>
    <row r="65" spans="9:20" x14ac:dyDescent="0.25">
      <c r="I65" s="187" t="s">
        <v>1005</v>
      </c>
      <c r="J65" s="336" t="s">
        <v>1795</v>
      </c>
      <c r="K65" s="333">
        <v>100000</v>
      </c>
      <c r="L65" s="333">
        <v>708</v>
      </c>
      <c r="M65" s="333">
        <v>0</v>
      </c>
      <c r="N65" s="333">
        <v>0</v>
      </c>
      <c r="O65" s="343">
        <f t="shared" si="6"/>
        <v>0</v>
      </c>
      <c r="P65" s="333">
        <f t="shared" si="5"/>
        <v>100000</v>
      </c>
      <c r="Q65" s="403"/>
      <c r="R65" s="347">
        <v>41836</v>
      </c>
      <c r="S65" s="347"/>
      <c r="T65" s="344"/>
    </row>
    <row r="66" spans="9:20" x14ac:dyDescent="0.25">
      <c r="I66" s="187" t="s">
        <v>1005</v>
      </c>
      <c r="J66" s="336" t="s">
        <v>1812</v>
      </c>
      <c r="K66" s="333">
        <v>20000</v>
      </c>
      <c r="L66" s="333">
        <v>684</v>
      </c>
      <c r="M66" s="333">
        <v>0</v>
      </c>
      <c r="N66" s="333">
        <v>0</v>
      </c>
      <c r="O66" s="343">
        <f t="shared" si="6"/>
        <v>0</v>
      </c>
      <c r="P66" s="333">
        <f t="shared" si="5"/>
        <v>20000</v>
      </c>
      <c r="Q66" s="403"/>
      <c r="R66" s="347">
        <v>41836</v>
      </c>
      <c r="S66" s="347"/>
      <c r="T66" s="344"/>
    </row>
    <row r="67" spans="9:20" x14ac:dyDescent="0.25">
      <c r="I67" s="187" t="s">
        <v>1005</v>
      </c>
      <c r="J67" s="336" t="s">
        <v>1620</v>
      </c>
      <c r="K67" s="333">
        <v>20000</v>
      </c>
      <c r="L67" s="333">
        <v>732</v>
      </c>
      <c r="M67" s="333">
        <v>0</v>
      </c>
      <c r="N67" s="333">
        <v>0</v>
      </c>
      <c r="O67" s="343">
        <f t="shared" si="6"/>
        <v>0</v>
      </c>
      <c r="P67" s="333">
        <f t="shared" si="5"/>
        <v>20000</v>
      </c>
      <c r="Q67" s="403"/>
      <c r="R67" s="347">
        <v>41837</v>
      </c>
      <c r="S67" s="347"/>
      <c r="T67" s="344"/>
    </row>
    <row r="68" spans="9:20" x14ac:dyDescent="0.25">
      <c r="I68" s="187" t="s">
        <v>1005</v>
      </c>
      <c r="J68" s="336" t="s">
        <v>1580</v>
      </c>
      <c r="K68" s="333">
        <v>17000</v>
      </c>
      <c r="L68" s="333">
        <v>780</v>
      </c>
      <c r="M68" s="333">
        <v>0</v>
      </c>
      <c r="N68" s="333">
        <v>0</v>
      </c>
      <c r="O68" s="343">
        <f t="shared" ref="O68:O79" si="7">IF(M68=0,0,M68-K68)-N68</f>
        <v>0</v>
      </c>
      <c r="P68" s="333">
        <f t="shared" si="5"/>
        <v>17000</v>
      </c>
      <c r="Q68" s="403"/>
      <c r="R68" s="347">
        <v>41841</v>
      </c>
      <c r="S68" s="347"/>
      <c r="T68" s="344"/>
    </row>
    <row r="69" spans="9:20" x14ac:dyDescent="0.25">
      <c r="I69" s="334" t="s">
        <v>1005</v>
      </c>
      <c r="J69" s="337" t="s">
        <v>1724</v>
      </c>
      <c r="K69" s="335">
        <v>15000</v>
      </c>
      <c r="L69" s="335"/>
      <c r="M69" s="335">
        <v>75000</v>
      </c>
      <c r="N69" s="335">
        <f>M69-65168</f>
        <v>9832</v>
      </c>
      <c r="O69" s="335">
        <f t="shared" si="7"/>
        <v>50168</v>
      </c>
      <c r="P69" s="335">
        <f t="shared" si="5"/>
        <v>0</v>
      </c>
      <c r="Q69" s="405">
        <f>O69/K69</f>
        <v>3.3445333333333331</v>
      </c>
      <c r="R69" s="348">
        <v>41738</v>
      </c>
      <c r="S69" s="348">
        <v>41750</v>
      </c>
      <c r="T69" s="353">
        <f>O69/((S69-R69)/7)</f>
        <v>29264.666666666668</v>
      </c>
    </row>
    <row r="70" spans="9:20" x14ac:dyDescent="0.25">
      <c r="I70" s="334" t="s">
        <v>1005</v>
      </c>
      <c r="J70" s="337" t="s">
        <v>1704</v>
      </c>
      <c r="K70" s="335">
        <v>5000</v>
      </c>
      <c r="L70" s="335"/>
      <c r="M70" s="335">
        <v>10000</v>
      </c>
      <c r="N70" s="335">
        <f>M70-9143</f>
        <v>857</v>
      </c>
      <c r="O70" s="335">
        <f t="shared" si="7"/>
        <v>4143</v>
      </c>
      <c r="P70" s="335">
        <f t="shared" si="5"/>
        <v>0</v>
      </c>
      <c r="Q70" s="405">
        <f>O70/K70</f>
        <v>0.8286</v>
      </c>
      <c r="R70" s="348">
        <v>41732</v>
      </c>
      <c r="S70" s="348">
        <v>41773</v>
      </c>
      <c r="T70" s="353">
        <f>O70/((S70-R70)/7)</f>
        <v>707.34146341463418</v>
      </c>
    </row>
    <row r="71" spans="9:20" x14ac:dyDescent="0.25">
      <c r="I71" s="334" t="s">
        <v>1005</v>
      </c>
      <c r="J71" s="337" t="s">
        <v>1699</v>
      </c>
      <c r="K71" s="335">
        <v>3000</v>
      </c>
      <c r="L71" s="335"/>
      <c r="M71" s="335">
        <v>18000</v>
      </c>
      <c r="N71" s="335">
        <f>M71-16241</f>
        <v>1759</v>
      </c>
      <c r="O71" s="335">
        <f t="shared" si="7"/>
        <v>13241</v>
      </c>
      <c r="P71" s="335">
        <f t="shared" si="5"/>
        <v>0</v>
      </c>
      <c r="Q71" s="405">
        <f>O71/K71</f>
        <v>4.4136666666666668</v>
      </c>
      <c r="R71" s="348">
        <v>41722</v>
      </c>
      <c r="S71" s="348">
        <v>41772</v>
      </c>
      <c r="T71" s="353">
        <f>O71/((S71-R71)/7)</f>
        <v>1853.74</v>
      </c>
    </row>
    <row r="72" spans="9:20" x14ac:dyDescent="0.25">
      <c r="I72" s="187" t="s">
        <v>1005</v>
      </c>
      <c r="J72" s="336" t="s">
        <v>1796</v>
      </c>
      <c r="K72" s="333">
        <v>2000</v>
      </c>
      <c r="L72" s="333">
        <v>348</v>
      </c>
      <c r="M72" s="333">
        <v>0</v>
      </c>
      <c r="N72" s="333">
        <v>0</v>
      </c>
      <c r="O72" s="343">
        <f t="shared" si="7"/>
        <v>0</v>
      </c>
      <c r="P72" s="333">
        <f t="shared" si="5"/>
        <v>2000</v>
      </c>
      <c r="Q72" s="403"/>
      <c r="R72" s="347">
        <v>41836</v>
      </c>
      <c r="S72" s="347"/>
      <c r="T72" s="344"/>
    </row>
    <row r="73" spans="9:20" x14ac:dyDescent="0.25">
      <c r="I73" s="187" t="s">
        <v>1004</v>
      </c>
      <c r="J73" s="336" t="s">
        <v>1779</v>
      </c>
      <c r="K73" s="333">
        <v>2000</v>
      </c>
      <c r="L73" s="333">
        <v>1548</v>
      </c>
      <c r="M73" s="333">
        <v>0</v>
      </c>
      <c r="N73" s="333">
        <v>0</v>
      </c>
      <c r="O73" s="343">
        <f t="shared" si="7"/>
        <v>0</v>
      </c>
      <c r="P73" s="333">
        <f t="shared" si="5"/>
        <v>2000</v>
      </c>
      <c r="Q73" s="403"/>
      <c r="R73" s="347">
        <v>41815</v>
      </c>
      <c r="S73" s="347"/>
      <c r="T73" s="344"/>
    </row>
    <row r="74" spans="9:20" x14ac:dyDescent="0.25">
      <c r="I74" s="334" t="s">
        <v>1005</v>
      </c>
      <c r="J74" s="337" t="s">
        <v>1700</v>
      </c>
      <c r="K74" s="335">
        <v>1000</v>
      </c>
      <c r="L74" s="335"/>
      <c r="M74" s="335">
        <v>10000</v>
      </c>
      <c r="N74" s="335">
        <f>M74-8862</f>
        <v>1138</v>
      </c>
      <c r="O74" s="335">
        <f t="shared" si="7"/>
        <v>7862</v>
      </c>
      <c r="P74" s="335">
        <f t="shared" si="5"/>
        <v>0</v>
      </c>
      <c r="Q74" s="405">
        <f>O74/K74</f>
        <v>7.8620000000000001</v>
      </c>
      <c r="R74" s="348">
        <v>41722</v>
      </c>
      <c r="S74" s="348">
        <v>41750</v>
      </c>
      <c r="T74" s="353">
        <f>O74/((S74-R74)/7)</f>
        <v>1965.5</v>
      </c>
    </row>
    <row r="75" spans="9:20" x14ac:dyDescent="0.25">
      <c r="I75" s="187" t="s">
        <v>1004</v>
      </c>
      <c r="J75" s="336" t="s">
        <v>1778</v>
      </c>
      <c r="K75" s="333">
        <v>1000</v>
      </c>
      <c r="L75" s="333">
        <v>1524</v>
      </c>
      <c r="M75" s="333">
        <v>0</v>
      </c>
      <c r="N75" s="333">
        <v>0</v>
      </c>
      <c r="O75" s="343">
        <f t="shared" si="7"/>
        <v>0</v>
      </c>
      <c r="P75" s="333">
        <f t="shared" si="5"/>
        <v>1000</v>
      </c>
      <c r="Q75" s="403"/>
      <c r="R75" s="347">
        <v>41815</v>
      </c>
      <c r="S75" s="347"/>
      <c r="T75" s="344"/>
    </row>
    <row r="76" spans="9:20" x14ac:dyDescent="0.25">
      <c r="I76" s="187" t="s">
        <v>1003</v>
      </c>
      <c r="J76" s="336" t="s">
        <v>1017</v>
      </c>
      <c r="K76" s="333">
        <v>0</v>
      </c>
      <c r="L76" s="333"/>
      <c r="M76" s="333">
        <v>0</v>
      </c>
      <c r="N76" s="333">
        <v>0</v>
      </c>
      <c r="O76" s="343">
        <f t="shared" si="7"/>
        <v>0</v>
      </c>
      <c r="P76" s="333">
        <f t="shared" si="5"/>
        <v>0</v>
      </c>
      <c r="Q76" s="403"/>
      <c r="R76" s="347">
        <v>40993</v>
      </c>
      <c r="S76" s="347"/>
      <c r="T76" s="344"/>
    </row>
    <row r="77" spans="9:20" x14ac:dyDescent="0.25">
      <c r="I77" s="334" t="s">
        <v>1003</v>
      </c>
      <c r="J77" s="337" t="s">
        <v>1729</v>
      </c>
      <c r="K77" s="335">
        <v>0</v>
      </c>
      <c r="L77" s="335"/>
      <c r="M77" s="335">
        <v>313000</v>
      </c>
      <c r="N77" s="335">
        <f>M77-297350</f>
        <v>15650</v>
      </c>
      <c r="O77" s="335">
        <f t="shared" si="7"/>
        <v>297350</v>
      </c>
      <c r="P77" s="335">
        <f t="shared" si="5"/>
        <v>0</v>
      </c>
      <c r="Q77" s="405" t="s">
        <v>1327</v>
      </c>
      <c r="R77" s="348">
        <v>41767</v>
      </c>
      <c r="S77" s="348">
        <v>41770</v>
      </c>
      <c r="T77" s="405" t="s">
        <v>1327</v>
      </c>
    </row>
    <row r="78" spans="9:20" x14ac:dyDescent="0.25">
      <c r="I78" s="334" t="s">
        <v>1003</v>
      </c>
      <c r="J78" s="337" t="s">
        <v>1766</v>
      </c>
      <c r="K78" s="335">
        <v>0</v>
      </c>
      <c r="L78" s="335"/>
      <c r="M78" s="335">
        <v>821100</v>
      </c>
      <c r="N78" s="335">
        <f>M78-780045</f>
        <v>41055</v>
      </c>
      <c r="O78" s="335">
        <f t="shared" si="7"/>
        <v>780045</v>
      </c>
      <c r="P78" s="335">
        <f t="shared" si="5"/>
        <v>0</v>
      </c>
      <c r="Q78" s="405" t="s">
        <v>1327</v>
      </c>
      <c r="R78" s="348">
        <v>41798</v>
      </c>
      <c r="S78" s="348">
        <v>41801</v>
      </c>
      <c r="T78" s="405" t="s">
        <v>1327</v>
      </c>
    </row>
    <row r="79" spans="9:20" x14ac:dyDescent="0.25">
      <c r="I79" s="187" t="s">
        <v>1005</v>
      </c>
      <c r="J79" s="336" t="s">
        <v>1823</v>
      </c>
      <c r="K79" s="333">
        <v>25000</v>
      </c>
      <c r="L79" s="333">
        <v>790</v>
      </c>
      <c r="M79" s="333">
        <v>0</v>
      </c>
      <c r="N79" s="333">
        <v>0</v>
      </c>
      <c r="O79" s="343">
        <f t="shared" si="7"/>
        <v>0</v>
      </c>
      <c r="P79" s="333">
        <f t="shared" ref="P79" si="8">IF(M79=0,K79,0)</f>
        <v>25000</v>
      </c>
      <c r="Q79" s="403"/>
      <c r="R79" s="347">
        <v>41842</v>
      </c>
      <c r="S79" s="347"/>
      <c r="T79" s="344"/>
    </row>
    <row r="80" spans="9:20" x14ac:dyDescent="0.25">
      <c r="I80" s="187" t="s">
        <v>1005</v>
      </c>
      <c r="J80" s="336" t="s">
        <v>1824</v>
      </c>
      <c r="K80" s="333">
        <v>25000</v>
      </c>
      <c r="L80" s="333">
        <v>1068</v>
      </c>
      <c r="M80" s="333">
        <v>0</v>
      </c>
      <c r="N80" s="333">
        <v>0</v>
      </c>
      <c r="O80" s="343">
        <f t="shared" ref="O80:O83" si="9">IF(M80=0,0,M80-K80)-N80</f>
        <v>0</v>
      </c>
      <c r="P80" s="333">
        <f t="shared" ref="P80:P83" si="10">IF(M80=0,K80,0)</f>
        <v>25000</v>
      </c>
      <c r="Q80" s="403"/>
      <c r="R80" s="347">
        <v>41842</v>
      </c>
      <c r="S80" s="347"/>
      <c r="T80" s="344"/>
    </row>
    <row r="81" spans="9:20" x14ac:dyDescent="0.25">
      <c r="I81" s="187" t="s">
        <v>1005</v>
      </c>
      <c r="J81" s="336" t="s">
        <v>1825</v>
      </c>
      <c r="K81" s="333">
        <v>25000</v>
      </c>
      <c r="L81" s="333">
        <v>540</v>
      </c>
      <c r="M81" s="333">
        <v>0</v>
      </c>
      <c r="N81" s="333">
        <v>0</v>
      </c>
      <c r="O81" s="343">
        <f t="shared" si="9"/>
        <v>0</v>
      </c>
      <c r="P81" s="333">
        <f t="shared" si="10"/>
        <v>25000</v>
      </c>
      <c r="Q81" s="403"/>
      <c r="R81" s="347">
        <v>41845</v>
      </c>
      <c r="S81" s="347"/>
      <c r="T81" s="344"/>
    </row>
    <row r="82" spans="9:20" x14ac:dyDescent="0.25">
      <c r="I82" s="187" t="s">
        <v>1006</v>
      </c>
      <c r="J82" s="336" t="s">
        <v>1826</v>
      </c>
      <c r="K82" s="333">
        <v>1200000</v>
      </c>
      <c r="L82" s="333">
        <v>26676</v>
      </c>
      <c r="M82" s="333">
        <v>0</v>
      </c>
      <c r="N82" s="333">
        <v>0</v>
      </c>
      <c r="O82" s="343">
        <f t="shared" si="9"/>
        <v>0</v>
      </c>
      <c r="P82" s="333">
        <f t="shared" si="10"/>
        <v>1200000</v>
      </c>
      <c r="Q82" s="403"/>
      <c r="R82" s="347">
        <v>41848</v>
      </c>
      <c r="S82" s="347"/>
      <c r="T82" s="344"/>
    </row>
    <row r="83" spans="9:20" x14ac:dyDescent="0.25">
      <c r="I83" s="187" t="s">
        <v>1006</v>
      </c>
      <c r="J83" s="336" t="s">
        <v>1829</v>
      </c>
      <c r="K83" s="333">
        <v>1836000</v>
      </c>
      <c r="L83" s="333">
        <v>24204</v>
      </c>
      <c r="M83" s="333">
        <v>0</v>
      </c>
      <c r="N83" s="333">
        <v>0</v>
      </c>
      <c r="O83" s="343">
        <f t="shared" si="9"/>
        <v>0</v>
      </c>
      <c r="P83" s="333">
        <f t="shared" si="10"/>
        <v>1836000</v>
      </c>
      <c r="Q83" s="403"/>
      <c r="R83" s="347">
        <v>41850</v>
      </c>
      <c r="S83" s="347"/>
      <c r="T83" s="344"/>
    </row>
  </sheetData>
  <autoFilter ref="I3:T83"/>
  <sortState ref="I4:T77">
    <sortCondition descending="1" ref="K4:K77"/>
  </sortState>
  <mergeCells count="5">
    <mergeCell ref="B2:G2"/>
    <mergeCell ref="B3:G3"/>
    <mergeCell ref="B4:C4"/>
    <mergeCell ref="E4:F4"/>
    <mergeCell ref="I2:T2"/>
  </mergeCells>
  <conditionalFormatting sqref="F12:F17 O4:O78 T4:T78 Q4:Q78">
    <cfRule type="cellIs" dxfId="1600" priority="939" operator="lessThan">
      <formula>0</formula>
    </cfRule>
    <cfRule type="cellIs" dxfId="1599" priority="940" operator="greaterThan">
      <formula>0</formula>
    </cfRule>
  </conditionalFormatting>
  <conditionalFormatting sqref="O79 T79 Q79">
    <cfRule type="cellIs" dxfId="1598" priority="9" operator="lessThan">
      <formula>0</formula>
    </cfRule>
    <cfRule type="cellIs" dxfId="1597" priority="10" operator="greaterThan">
      <formula>0</formula>
    </cfRule>
  </conditionalFormatting>
  <conditionalFormatting sqref="O80 T80 Q80">
    <cfRule type="cellIs" dxfId="1596" priority="7" operator="lessThan">
      <formula>0</formula>
    </cfRule>
    <cfRule type="cellIs" dxfId="1595" priority="8" operator="greaterThan">
      <formula>0</formula>
    </cfRule>
  </conditionalFormatting>
  <conditionalFormatting sqref="O81 T81 Q81">
    <cfRule type="cellIs" dxfId="1594" priority="5" operator="lessThan">
      <formula>0</formula>
    </cfRule>
    <cfRule type="cellIs" dxfId="1593" priority="6" operator="greaterThan">
      <formula>0</formula>
    </cfRule>
  </conditionalFormatting>
  <conditionalFormatting sqref="O82 T82 Q82">
    <cfRule type="cellIs" dxfId="1592" priority="3" operator="lessThan">
      <formula>0</formula>
    </cfRule>
    <cfRule type="cellIs" dxfId="1591" priority="4" operator="greaterThan">
      <formula>0</formula>
    </cfRule>
  </conditionalFormatting>
  <conditionalFormatting sqref="O83 T83 Q83">
    <cfRule type="cellIs" dxfId="1590" priority="1" operator="lessThan">
      <formula>0</formula>
    </cfRule>
    <cfRule type="cellIs" dxfId="1589" priority="2" operator="greaterThan">
      <formula>0</formula>
    </cfRule>
  </conditionalFormatting>
  <pageMargins left="0.7" right="0.7" top="0.75" bottom="0.75" header="0.3" footer="0.3"/>
  <pageSetup paperSize="9"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V50"/>
  <sheetViews>
    <sheetView zoomScale="90" zoomScaleNormal="90" workbookViewId="0">
      <pane xSplit="3" ySplit="4" topLeftCell="D5" activePane="bottomRight" state="frozen"/>
      <selection pane="topRight" activeCell="D1" sqref="D1"/>
      <selection pane="bottomLeft" activeCell="A5" sqref="A5"/>
      <selection pane="bottomRight" activeCell="B5" sqref="B5"/>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6.7109375" style="499" bestFit="1" customWidth="1"/>
    <col min="6" max="6" width="16.7109375" bestFit="1" customWidth="1"/>
    <col min="7" max="7" width="16.7109375" style="97" bestFit="1" customWidth="1"/>
    <col min="8" max="9" width="16.7109375" bestFit="1" customWidth="1"/>
    <col min="10" max="19" width="16.7109375" style="5" bestFit="1" customWidth="1"/>
    <col min="20" max="20" width="11.42578125" style="5"/>
    <col min="21" max="21" width="16.140625" style="5" customWidth="1"/>
    <col min="22" max="22" width="9.7109375" style="5" bestFit="1" customWidth="1"/>
    <col min="23" max="16384" width="11.42578125" style="5"/>
  </cols>
  <sheetData>
    <row r="1" spans="1:22" ht="23.25" x14ac:dyDescent="0.35">
      <c r="A1" s="156" t="s">
        <v>13</v>
      </c>
      <c r="B1" s="255"/>
      <c r="C1" s="255"/>
    </row>
    <row r="2" spans="1:22" s="178" customFormat="1" ht="12.75" x14ac:dyDescent="0.2">
      <c r="B2" s="297"/>
      <c r="C2" s="297"/>
      <c r="D2" s="181">
        <f>EconomiaT43!S2+7</f>
        <v>41853</v>
      </c>
      <c r="E2" s="181">
        <f>D2+7</f>
        <v>41860</v>
      </c>
      <c r="F2" s="181">
        <f t="shared" ref="F2:S2" si="0">E2+7</f>
        <v>41867</v>
      </c>
      <c r="G2" s="181">
        <f t="shared" si="0"/>
        <v>41874</v>
      </c>
      <c r="H2" s="181">
        <f t="shared" si="0"/>
        <v>41881</v>
      </c>
      <c r="I2" s="181">
        <f t="shared" si="0"/>
        <v>41888</v>
      </c>
      <c r="J2" s="181">
        <f t="shared" si="0"/>
        <v>41895</v>
      </c>
      <c r="K2" s="181">
        <f t="shared" si="0"/>
        <v>41902</v>
      </c>
      <c r="L2" s="181">
        <f t="shared" si="0"/>
        <v>41909</v>
      </c>
      <c r="M2" s="181">
        <f t="shared" si="0"/>
        <v>41916</v>
      </c>
      <c r="N2" s="181">
        <f t="shared" si="0"/>
        <v>41923</v>
      </c>
      <c r="O2" s="181">
        <f t="shared" si="0"/>
        <v>41930</v>
      </c>
      <c r="P2" s="181">
        <f t="shared" si="0"/>
        <v>41937</v>
      </c>
      <c r="Q2" s="181">
        <f t="shared" si="0"/>
        <v>41944</v>
      </c>
      <c r="R2" s="181">
        <f t="shared" si="0"/>
        <v>41951</v>
      </c>
      <c r="S2" s="181">
        <f t="shared" si="0"/>
        <v>41958</v>
      </c>
      <c r="T2" s="181"/>
    </row>
    <row r="3" spans="1:22" s="6" customFormat="1" x14ac:dyDescent="0.25">
      <c r="A3" s="27"/>
      <c r="B3" s="27"/>
      <c r="C3" s="298" t="s">
        <v>1728</v>
      </c>
      <c r="D3" s="148" t="s">
        <v>16</v>
      </c>
      <c r="E3" s="148" t="s">
        <v>715</v>
      </c>
      <c r="F3" s="148" t="s">
        <v>702</v>
      </c>
      <c r="G3" s="148" t="s">
        <v>703</v>
      </c>
      <c r="H3" s="148" t="s">
        <v>704</v>
      </c>
      <c r="I3" s="148" t="s">
        <v>705</v>
      </c>
      <c r="J3" s="148" t="s">
        <v>21</v>
      </c>
      <c r="K3" s="148" t="s">
        <v>22</v>
      </c>
      <c r="L3" s="148" t="s">
        <v>23</v>
      </c>
      <c r="M3" s="148" t="s">
        <v>17</v>
      </c>
      <c r="N3" s="148" t="s">
        <v>18</v>
      </c>
      <c r="O3" s="148" t="s">
        <v>24</v>
      </c>
      <c r="P3" s="148" t="s">
        <v>25</v>
      </c>
      <c r="Q3" s="148" t="s">
        <v>26</v>
      </c>
      <c r="R3" s="148" t="s">
        <v>27</v>
      </c>
      <c r="S3" s="148" t="s">
        <v>28</v>
      </c>
    </row>
    <row r="4" spans="1:22" s="6" customFormat="1" x14ac:dyDescent="0.25">
      <c r="A4" s="27"/>
      <c r="B4" s="298"/>
      <c r="C4" s="298" t="s">
        <v>42</v>
      </c>
      <c r="D4" s="215">
        <f>EconomiaT43!S4+2</f>
        <v>2372</v>
      </c>
      <c r="E4" s="215">
        <f>D4+(D11/30)</f>
        <v>2376</v>
      </c>
      <c r="F4" s="215">
        <f t="shared" ref="F4:R4" si="1">E4+(E11/30)</f>
        <v>2379</v>
      </c>
      <c r="G4" s="215">
        <f t="shared" si="1"/>
        <v>2385</v>
      </c>
      <c r="H4" s="215">
        <f>G4+(G11/30)-2</f>
        <v>2385</v>
      </c>
      <c r="I4" s="215">
        <f t="shared" si="1"/>
        <v>2389</v>
      </c>
      <c r="J4" s="215">
        <f t="shared" si="1"/>
        <v>2395</v>
      </c>
      <c r="K4" s="215">
        <f t="shared" si="1"/>
        <v>2399</v>
      </c>
      <c r="L4" s="215">
        <f t="shared" si="1"/>
        <v>2403</v>
      </c>
      <c r="M4" s="215">
        <f t="shared" si="1"/>
        <v>2409</v>
      </c>
      <c r="N4" s="215">
        <f t="shared" si="1"/>
        <v>2415</v>
      </c>
      <c r="O4" s="215">
        <f t="shared" si="1"/>
        <v>2421</v>
      </c>
      <c r="P4" s="215">
        <f t="shared" si="1"/>
        <v>2423</v>
      </c>
      <c r="Q4" s="215">
        <f>P4+(P11/30)-2</f>
        <v>2425</v>
      </c>
      <c r="R4" s="215">
        <f t="shared" si="1"/>
        <v>2431</v>
      </c>
      <c r="S4" s="215">
        <f>R4+(R11/30)</f>
        <v>2770.3333333333335</v>
      </c>
    </row>
    <row r="5" spans="1:22" s="7" customFormat="1" ht="18.75" x14ac:dyDescent="0.3">
      <c r="A5" s="29" t="s">
        <v>12</v>
      </c>
      <c r="B5" s="29"/>
      <c r="C5" s="296">
        <f>EconomiaT43!S24-5429</f>
        <v>911788</v>
      </c>
      <c r="D5" s="197">
        <f>C5</f>
        <v>911788</v>
      </c>
      <c r="E5" s="197">
        <f>D24</f>
        <v>745624</v>
      </c>
      <c r="F5" s="197">
        <f t="shared" ref="F5:S5" si="2">E24</f>
        <v>1761540</v>
      </c>
      <c r="G5" s="197">
        <f t="shared" si="2"/>
        <v>3088746</v>
      </c>
      <c r="H5" s="197">
        <f t="shared" si="2"/>
        <v>2852112</v>
      </c>
      <c r="I5" s="197">
        <f t="shared" si="2"/>
        <v>2996231</v>
      </c>
      <c r="J5" s="197">
        <f t="shared" si="2"/>
        <v>3401984</v>
      </c>
      <c r="K5" s="197">
        <f t="shared" si="2"/>
        <v>2083198</v>
      </c>
      <c r="L5" s="197">
        <f t="shared" si="2"/>
        <v>2174694</v>
      </c>
      <c r="M5" s="197">
        <f t="shared" si="2"/>
        <v>3296736</v>
      </c>
      <c r="N5" s="197">
        <f t="shared" si="2"/>
        <v>1769773</v>
      </c>
      <c r="O5" s="197">
        <f t="shared" si="2"/>
        <v>1538598</v>
      </c>
      <c r="P5" s="197">
        <f t="shared" si="2"/>
        <v>1420843</v>
      </c>
      <c r="Q5" s="197">
        <f t="shared" si="2"/>
        <v>1583224</v>
      </c>
      <c r="R5" s="197">
        <f t="shared" si="2"/>
        <v>1193656</v>
      </c>
      <c r="S5" s="197">
        <f t="shared" si="2"/>
        <v>1146100</v>
      </c>
    </row>
    <row r="6" spans="1:22" x14ac:dyDescent="0.25">
      <c r="A6" s="8" t="s">
        <v>0</v>
      </c>
      <c r="B6" s="8" t="s">
        <v>0</v>
      </c>
      <c r="C6" s="199">
        <f>SUM(D6:S6)</f>
        <v>3880318</v>
      </c>
      <c r="D6" s="200">
        <v>30802</v>
      </c>
      <c r="E6" s="200">
        <v>98533</v>
      </c>
      <c r="F6" s="200">
        <f>513741+88313-20000</f>
        <v>582054</v>
      </c>
      <c r="G6" s="200">
        <f>141390-20000</f>
        <v>121390</v>
      </c>
      <c r="H6" s="200">
        <f>408815+17755-20000-1656</f>
        <v>404914</v>
      </c>
      <c r="I6" s="200">
        <f>468274+16229</f>
        <v>484503</v>
      </c>
      <c r="J6" s="200">
        <v>17933</v>
      </c>
      <c r="K6" s="200">
        <v>430366</v>
      </c>
      <c r="L6" s="200">
        <v>20614</v>
      </c>
      <c r="M6" s="200">
        <f>556471+20374</f>
        <v>576845</v>
      </c>
      <c r="N6" s="200">
        <v>16716</v>
      </c>
      <c r="O6" s="200">
        <v>16791</v>
      </c>
      <c r="P6" s="200">
        <v>475698</v>
      </c>
      <c r="Q6" s="200">
        <v>13378</v>
      </c>
      <c r="R6" s="200">
        <f>535514+15821</f>
        <v>551335</v>
      </c>
      <c r="S6" s="200">
        <v>38446</v>
      </c>
      <c r="U6" s="8" t="s">
        <v>0</v>
      </c>
      <c r="V6" s="219">
        <f>C6/$C$13</f>
        <v>0.28229123418598429</v>
      </c>
    </row>
    <row r="7" spans="1:22" x14ac:dyDescent="0.25">
      <c r="A7" s="8" t="s">
        <v>2</v>
      </c>
      <c r="B7" s="8" t="s">
        <v>2</v>
      </c>
      <c r="C7" s="199">
        <f t="shared" ref="C7:C23" si="3">SUM(D7:S7)</f>
        <v>1992010</v>
      </c>
      <c r="D7" s="202">
        <v>95095</v>
      </c>
      <c r="E7" s="202">
        <v>109525</v>
      </c>
      <c r="F7" s="202">
        <v>112000</v>
      </c>
      <c r="G7" s="543">
        <v>118000</v>
      </c>
      <c r="H7" s="202">
        <v>126175</v>
      </c>
      <c r="I7" s="202">
        <v>127840</v>
      </c>
      <c r="J7" s="202">
        <v>128765</v>
      </c>
      <c r="K7" s="202">
        <v>129320</v>
      </c>
      <c r="L7" s="202">
        <v>129690</v>
      </c>
      <c r="M7" s="202">
        <v>130060</v>
      </c>
      <c r="N7" s="202">
        <v>130430</v>
      </c>
      <c r="O7" s="202">
        <v>130615</v>
      </c>
      <c r="P7" s="202">
        <v>130800</v>
      </c>
      <c r="Q7" s="202">
        <v>130985</v>
      </c>
      <c r="R7" s="202">
        <v>131170</v>
      </c>
      <c r="S7" s="202">
        <v>131540</v>
      </c>
      <c r="U7" s="8" t="s">
        <v>2</v>
      </c>
      <c r="V7" s="219">
        <f t="shared" ref="V7:V12" si="4">C7/$C$13</f>
        <v>0.14491775194992332</v>
      </c>
    </row>
    <row r="8" spans="1:22" x14ac:dyDescent="0.25">
      <c r="A8" s="8" t="s">
        <v>3</v>
      </c>
      <c r="B8" s="8" t="s">
        <v>48</v>
      </c>
      <c r="C8" s="199">
        <f t="shared" si="3"/>
        <v>6336608</v>
      </c>
      <c r="D8" s="200">
        <v>220600</v>
      </c>
      <c r="E8" s="200">
        <v>1319028</v>
      </c>
      <c r="F8" s="200">
        <v>1125000</v>
      </c>
      <c r="G8" s="200">
        <v>0</v>
      </c>
      <c r="H8" s="200">
        <v>79671</v>
      </c>
      <c r="I8" s="200">
        <f>126490+126658</f>
        <v>253148</v>
      </c>
      <c r="J8" s="200">
        <f>67244+907680</f>
        <v>974924</v>
      </c>
      <c r="K8" s="200">
        <v>0</v>
      </c>
      <c r="L8" s="200">
        <f>1293044+50287+37527+27369+31931</f>
        <v>1440158</v>
      </c>
      <c r="M8" s="200">
        <v>697500</v>
      </c>
      <c r="N8" s="200">
        <v>36859</v>
      </c>
      <c r="O8" s="200">
        <v>189720</v>
      </c>
      <c r="P8" s="200">
        <v>0</v>
      </c>
      <c r="Q8" s="200">
        <v>0</v>
      </c>
      <c r="R8" s="200">
        <v>0</v>
      </c>
      <c r="S8" s="200">
        <v>0</v>
      </c>
      <c r="U8" s="8" t="s">
        <v>48</v>
      </c>
      <c r="V8" s="219">
        <f t="shared" si="4"/>
        <v>0.46098512876335945</v>
      </c>
    </row>
    <row r="9" spans="1:22" x14ac:dyDescent="0.25">
      <c r="A9" s="8"/>
      <c r="B9" s="8" t="s">
        <v>820</v>
      </c>
      <c r="C9" s="199">
        <f t="shared" si="3"/>
        <v>305957</v>
      </c>
      <c r="D9" s="200">
        <v>0</v>
      </c>
      <c r="E9" s="200">
        <v>0</v>
      </c>
      <c r="F9" s="200">
        <v>0</v>
      </c>
      <c r="G9" s="200">
        <v>0</v>
      </c>
      <c r="H9" s="200">
        <v>0</v>
      </c>
      <c r="I9" s="200">
        <v>0</v>
      </c>
      <c r="J9" s="200">
        <v>51357</v>
      </c>
      <c r="K9" s="200">
        <v>6650</v>
      </c>
      <c r="L9" s="200">
        <v>0</v>
      </c>
      <c r="M9" s="200">
        <v>0</v>
      </c>
      <c r="N9" s="200">
        <v>0</v>
      </c>
      <c r="O9" s="200">
        <v>0</v>
      </c>
      <c r="P9" s="200">
        <v>0</v>
      </c>
      <c r="Q9" s="200">
        <v>0</v>
      </c>
      <c r="R9" s="200">
        <v>0</v>
      </c>
      <c r="S9" s="200">
        <v>247950</v>
      </c>
      <c r="U9" s="8" t="s">
        <v>820</v>
      </c>
      <c r="V9" s="219">
        <f t="shared" si="4"/>
        <v>2.2258221913214634E-2</v>
      </c>
    </row>
    <row r="10" spans="1:22" x14ac:dyDescent="0.25">
      <c r="A10" s="8" t="s">
        <v>5</v>
      </c>
      <c r="B10" s="8" t="s">
        <v>5</v>
      </c>
      <c r="C10" s="199">
        <f t="shared" si="3"/>
        <v>238042</v>
      </c>
      <c r="D10" s="202">
        <v>8527</v>
      </c>
      <c r="E10" s="202">
        <v>0</v>
      </c>
      <c r="F10" s="202">
        <v>232</v>
      </c>
      <c r="G10" s="202">
        <v>0</v>
      </c>
      <c r="H10" s="202">
        <v>323</v>
      </c>
      <c r="I10" s="202">
        <v>1750</v>
      </c>
      <c r="J10" s="202">
        <v>1275</v>
      </c>
      <c r="K10" s="202">
        <v>1592</v>
      </c>
      <c r="L10" s="202">
        <v>2448</v>
      </c>
      <c r="M10" s="202">
        <v>140250</v>
      </c>
      <c r="N10" s="202">
        <v>51850</v>
      </c>
      <c r="O10" s="202">
        <v>20825</v>
      </c>
      <c r="P10" s="202">
        <v>1395</v>
      </c>
      <c r="Q10" s="202">
        <v>1365</v>
      </c>
      <c r="R10" s="202">
        <v>933</v>
      </c>
      <c r="S10" s="202">
        <v>5277</v>
      </c>
      <c r="U10" s="8" t="s">
        <v>5</v>
      </c>
      <c r="V10" s="219">
        <f t="shared" si="4"/>
        <v>1.7317438923330528E-2</v>
      </c>
    </row>
    <row r="11" spans="1:22" x14ac:dyDescent="0.25">
      <c r="A11" s="728" t="s">
        <v>7</v>
      </c>
      <c r="B11" s="8" t="s">
        <v>42</v>
      </c>
      <c r="C11" s="199">
        <f t="shared" si="3"/>
        <v>92862</v>
      </c>
      <c r="D11" s="202">
        <v>120</v>
      </c>
      <c r="E11" s="202">
        <v>90</v>
      </c>
      <c r="F11" s="202">
        <v>180</v>
      </c>
      <c r="G11" s="202">
        <v>60</v>
      </c>
      <c r="H11" s="202">
        <v>120</v>
      </c>
      <c r="I11" s="202">
        <v>180</v>
      </c>
      <c r="J11" s="202">
        <v>120</v>
      </c>
      <c r="K11" s="202">
        <v>120</v>
      </c>
      <c r="L11" s="202">
        <v>180</v>
      </c>
      <c r="M11" s="202">
        <v>180</v>
      </c>
      <c r="N11" s="202">
        <v>180</v>
      </c>
      <c r="O11" s="202">
        <v>60</v>
      </c>
      <c r="P11" s="202">
        <v>120</v>
      </c>
      <c r="Q11" s="202">
        <v>180</v>
      </c>
      <c r="R11" s="202">
        <v>10180</v>
      </c>
      <c r="S11" s="202">
        <f>7350+73262+180</f>
        <v>80792</v>
      </c>
      <c r="U11" s="8" t="s">
        <v>19</v>
      </c>
      <c r="V11" s="219">
        <f t="shared" si="4"/>
        <v>6.7556650225519847E-3</v>
      </c>
    </row>
    <row r="12" spans="1:22" x14ac:dyDescent="0.25">
      <c r="A12" s="729"/>
      <c r="B12" s="8" t="s">
        <v>51</v>
      </c>
      <c r="C12" s="199">
        <f t="shared" si="3"/>
        <v>900000</v>
      </c>
      <c r="D12" s="202">
        <v>0</v>
      </c>
      <c r="E12" s="202">
        <v>0</v>
      </c>
      <c r="F12" s="202">
        <v>0</v>
      </c>
      <c r="G12" s="202">
        <v>0</v>
      </c>
      <c r="H12" s="202">
        <v>0</v>
      </c>
      <c r="I12" s="202">
        <v>0</v>
      </c>
      <c r="J12" s="202">
        <v>0</v>
      </c>
      <c r="K12" s="202">
        <v>0</v>
      </c>
      <c r="L12" s="202">
        <v>0</v>
      </c>
      <c r="M12" s="202">
        <v>0</v>
      </c>
      <c r="N12" s="202">
        <v>0</v>
      </c>
      <c r="O12" s="202">
        <v>0</v>
      </c>
      <c r="P12" s="202">
        <v>0</v>
      </c>
      <c r="Q12" s="202">
        <v>0</v>
      </c>
      <c r="R12" s="202">
        <v>0</v>
      </c>
      <c r="S12" s="202">
        <f>300000+600000</f>
        <v>900000</v>
      </c>
      <c r="U12" s="8" t="s">
        <v>51</v>
      </c>
      <c r="V12" s="219">
        <f t="shared" si="4"/>
        <v>6.5474559241635824E-2</v>
      </c>
    </row>
    <row r="13" spans="1:22" s="21" customFormat="1" ht="18.75" x14ac:dyDescent="0.3">
      <c r="A13" s="19" t="s">
        <v>14</v>
      </c>
      <c r="B13" s="20"/>
      <c r="C13" s="203">
        <f t="shared" si="3"/>
        <v>13745797</v>
      </c>
      <c r="D13" s="204">
        <f t="shared" ref="D13:I13" si="5">SUM(D6:D12)</f>
        <v>355144</v>
      </c>
      <c r="E13" s="204">
        <f t="shared" si="5"/>
        <v>1527176</v>
      </c>
      <c r="F13" s="204">
        <f t="shared" si="5"/>
        <v>1819466</v>
      </c>
      <c r="G13" s="204">
        <f>G12+G11+G10+G9+G8+G7+G6</f>
        <v>239450</v>
      </c>
      <c r="H13" s="204">
        <f t="shared" si="5"/>
        <v>611203</v>
      </c>
      <c r="I13" s="204">
        <f t="shared" si="5"/>
        <v>867421</v>
      </c>
      <c r="J13" s="204">
        <f t="shared" ref="J13:S13" si="6">SUM(J6:J12)</f>
        <v>1174374</v>
      </c>
      <c r="K13" s="204">
        <f t="shared" si="6"/>
        <v>568048</v>
      </c>
      <c r="L13" s="204">
        <f t="shared" si="6"/>
        <v>1593090</v>
      </c>
      <c r="M13" s="204">
        <f t="shared" si="6"/>
        <v>1544835</v>
      </c>
      <c r="N13" s="204">
        <f t="shared" si="6"/>
        <v>236035</v>
      </c>
      <c r="O13" s="204">
        <f t="shared" si="6"/>
        <v>358011</v>
      </c>
      <c r="P13" s="204">
        <f t="shared" si="6"/>
        <v>608013</v>
      </c>
      <c r="Q13" s="204">
        <f t="shared" si="6"/>
        <v>145908</v>
      </c>
      <c r="R13" s="204">
        <f t="shared" si="6"/>
        <v>693618</v>
      </c>
      <c r="S13" s="204">
        <f t="shared" si="6"/>
        <v>1404005</v>
      </c>
      <c r="V13" s="222">
        <f>SUM(V6:V12)</f>
        <v>1</v>
      </c>
    </row>
    <row r="14" spans="1:22" ht="18.75" x14ac:dyDescent="0.3">
      <c r="A14" s="22" t="s">
        <v>1</v>
      </c>
      <c r="B14" s="23" t="str">
        <f>A14</f>
        <v>Sueldos</v>
      </c>
      <c r="C14" s="206">
        <f t="shared" si="3"/>
        <v>5515010</v>
      </c>
      <c r="D14" s="207">
        <v>376076</v>
      </c>
      <c r="E14" s="207">
        <v>375176</v>
      </c>
      <c r="F14" s="207">
        <v>375176</v>
      </c>
      <c r="G14" s="541">
        <v>357000</v>
      </c>
      <c r="H14" s="207">
        <v>350000</v>
      </c>
      <c r="I14" s="207">
        <v>338584</v>
      </c>
      <c r="J14" s="207">
        <v>336136</v>
      </c>
      <c r="K14" s="207">
        <v>346468</v>
      </c>
      <c r="L14" s="207">
        <v>348964</v>
      </c>
      <c r="M14" s="207">
        <v>331582</v>
      </c>
      <c r="N14" s="207">
        <v>340126</v>
      </c>
      <c r="O14" s="207">
        <v>328822</v>
      </c>
      <c r="P14" s="207">
        <v>325548</v>
      </c>
      <c r="Q14" s="207">
        <f t="shared" ref="Q14" si="7">P14</f>
        <v>325548</v>
      </c>
      <c r="R14" s="207">
        <v>325824</v>
      </c>
      <c r="S14" s="207">
        <v>333980</v>
      </c>
      <c r="U14" s="744">
        <f>C13</f>
        <v>13745797</v>
      </c>
      <c r="V14" s="745"/>
    </row>
    <row r="15" spans="1:22" x14ac:dyDescent="0.25">
      <c r="A15" s="22" t="s">
        <v>29</v>
      </c>
      <c r="B15" s="23" t="str">
        <f>A15</f>
        <v xml:space="preserve">Mantenimiento </v>
      </c>
      <c r="C15" s="206">
        <f t="shared" si="3"/>
        <v>574492</v>
      </c>
      <c r="D15" s="207">
        <v>33232</v>
      </c>
      <c r="E15" s="207">
        <v>36084</v>
      </c>
      <c r="F15" s="207">
        <f t="shared" ref="F15:S15" si="8">E15</f>
        <v>36084</v>
      </c>
      <c r="G15" s="207">
        <f t="shared" si="8"/>
        <v>36084</v>
      </c>
      <c r="H15" s="207">
        <f t="shared" si="8"/>
        <v>36084</v>
      </c>
      <c r="I15" s="207">
        <f t="shared" si="8"/>
        <v>36084</v>
      </c>
      <c r="J15" s="207">
        <f t="shared" si="8"/>
        <v>36084</v>
      </c>
      <c r="K15" s="207">
        <f t="shared" si="8"/>
        <v>36084</v>
      </c>
      <c r="L15" s="207">
        <f>K15</f>
        <v>36084</v>
      </c>
      <c r="M15" s="207">
        <f t="shared" si="8"/>
        <v>36084</v>
      </c>
      <c r="N15" s="207">
        <f t="shared" si="8"/>
        <v>36084</v>
      </c>
      <c r="O15" s="207">
        <f t="shared" si="8"/>
        <v>36084</v>
      </c>
      <c r="P15" s="207">
        <f t="shared" si="8"/>
        <v>36084</v>
      </c>
      <c r="Q15" s="207">
        <f t="shared" si="8"/>
        <v>36084</v>
      </c>
      <c r="R15" s="207">
        <f t="shared" si="8"/>
        <v>36084</v>
      </c>
      <c r="S15" s="207">
        <f t="shared" si="8"/>
        <v>36084</v>
      </c>
    </row>
    <row r="16" spans="1:22" x14ac:dyDescent="0.25">
      <c r="A16" s="22" t="s">
        <v>4</v>
      </c>
      <c r="B16" s="23" t="s">
        <v>30</v>
      </c>
      <c r="C16" s="206">
        <f t="shared" si="3"/>
        <v>0</v>
      </c>
      <c r="D16" s="207">
        <v>0</v>
      </c>
      <c r="E16" s="207">
        <v>0</v>
      </c>
      <c r="F16" s="207">
        <v>0</v>
      </c>
      <c r="G16" s="207">
        <v>0</v>
      </c>
      <c r="H16" s="207">
        <v>0</v>
      </c>
      <c r="I16" s="207">
        <v>0</v>
      </c>
      <c r="J16" s="207">
        <v>0</v>
      </c>
      <c r="K16" s="207">
        <v>0</v>
      </c>
      <c r="L16" s="207">
        <v>0</v>
      </c>
      <c r="M16" s="207">
        <v>0</v>
      </c>
      <c r="N16" s="207">
        <v>0</v>
      </c>
      <c r="O16" s="207">
        <v>0</v>
      </c>
      <c r="P16" s="207">
        <v>0</v>
      </c>
      <c r="Q16" s="207">
        <v>0</v>
      </c>
      <c r="R16" s="207">
        <v>0</v>
      </c>
      <c r="S16" s="207">
        <v>0</v>
      </c>
    </row>
    <row r="17" spans="1:22" x14ac:dyDescent="0.25">
      <c r="A17" s="22" t="s">
        <v>6</v>
      </c>
      <c r="B17" s="23" t="str">
        <f>A17</f>
        <v>Empleados</v>
      </c>
      <c r="C17" s="206">
        <f t="shared" si="3"/>
        <v>960000</v>
      </c>
      <c r="D17" s="207">
        <f>12000*5</f>
        <v>60000</v>
      </c>
      <c r="E17" s="207">
        <f>12000*5</f>
        <v>60000</v>
      </c>
      <c r="F17" s="207">
        <f t="shared" ref="F17:S17" si="9">12000*5</f>
        <v>60000</v>
      </c>
      <c r="G17" s="207">
        <f t="shared" si="9"/>
        <v>60000</v>
      </c>
      <c r="H17" s="207">
        <f t="shared" si="9"/>
        <v>60000</v>
      </c>
      <c r="I17" s="207">
        <f t="shared" si="9"/>
        <v>60000</v>
      </c>
      <c r="J17" s="207">
        <f t="shared" si="9"/>
        <v>60000</v>
      </c>
      <c r="K17" s="207">
        <f t="shared" si="9"/>
        <v>60000</v>
      </c>
      <c r="L17" s="207">
        <f t="shared" si="9"/>
        <v>60000</v>
      </c>
      <c r="M17" s="207">
        <f t="shared" si="9"/>
        <v>60000</v>
      </c>
      <c r="N17" s="207">
        <f t="shared" si="9"/>
        <v>60000</v>
      </c>
      <c r="O17" s="207">
        <f t="shared" si="9"/>
        <v>60000</v>
      </c>
      <c r="P17" s="207">
        <f t="shared" si="9"/>
        <v>60000</v>
      </c>
      <c r="Q17" s="207">
        <f t="shared" si="9"/>
        <v>60000</v>
      </c>
      <c r="R17" s="207">
        <f t="shared" si="9"/>
        <v>60000</v>
      </c>
      <c r="S17" s="207">
        <f t="shared" si="9"/>
        <v>60000</v>
      </c>
    </row>
    <row r="18" spans="1:22" x14ac:dyDescent="0.25">
      <c r="A18" s="22" t="s">
        <v>8</v>
      </c>
      <c r="B18" s="23" t="str">
        <f>A18</f>
        <v>Juveniles</v>
      </c>
      <c r="C18" s="206">
        <f t="shared" si="3"/>
        <v>320000</v>
      </c>
      <c r="D18" s="207">
        <v>20000</v>
      </c>
      <c r="E18" s="207">
        <f>D18</f>
        <v>20000</v>
      </c>
      <c r="F18" s="207">
        <f t="shared" ref="F18:S18" si="10">E18</f>
        <v>20000</v>
      </c>
      <c r="G18" s="207">
        <f t="shared" si="10"/>
        <v>20000</v>
      </c>
      <c r="H18" s="207">
        <f t="shared" si="10"/>
        <v>20000</v>
      </c>
      <c r="I18" s="207">
        <f t="shared" si="10"/>
        <v>20000</v>
      </c>
      <c r="J18" s="207">
        <f t="shared" si="10"/>
        <v>20000</v>
      </c>
      <c r="K18" s="207">
        <f t="shared" si="10"/>
        <v>20000</v>
      </c>
      <c r="L18" s="207">
        <f t="shared" si="10"/>
        <v>20000</v>
      </c>
      <c r="M18" s="207">
        <f t="shared" si="10"/>
        <v>20000</v>
      </c>
      <c r="N18" s="207">
        <f t="shared" si="10"/>
        <v>20000</v>
      </c>
      <c r="O18" s="207">
        <f t="shared" si="10"/>
        <v>20000</v>
      </c>
      <c r="P18" s="207">
        <f t="shared" si="10"/>
        <v>20000</v>
      </c>
      <c r="Q18" s="207">
        <f t="shared" si="10"/>
        <v>20000</v>
      </c>
      <c r="R18" s="207">
        <f t="shared" si="10"/>
        <v>20000</v>
      </c>
      <c r="S18" s="207">
        <f t="shared" si="10"/>
        <v>20000</v>
      </c>
    </row>
    <row r="19" spans="1:22" x14ac:dyDescent="0.25">
      <c r="A19" s="22" t="s">
        <v>9</v>
      </c>
      <c r="B19" s="23" t="s">
        <v>50</v>
      </c>
      <c r="C19" s="206">
        <f t="shared" si="3"/>
        <v>5199726</v>
      </c>
      <c r="D19" s="207">
        <v>0</v>
      </c>
      <c r="E19" s="207">
        <v>0</v>
      </c>
      <c r="F19" s="207">
        <v>0</v>
      </c>
      <c r="G19" s="207">
        <v>0</v>
      </c>
      <c r="H19" s="207">
        <v>0</v>
      </c>
      <c r="I19" s="207">
        <v>0</v>
      </c>
      <c r="J19" s="207">
        <v>2032940</v>
      </c>
      <c r="K19" s="207">
        <v>0</v>
      </c>
      <c r="L19" s="207">
        <v>0</v>
      </c>
      <c r="M19" s="207">
        <v>2618132</v>
      </c>
      <c r="N19" s="207">
        <v>0</v>
      </c>
      <c r="O19" s="207">
        <v>26860</v>
      </c>
      <c r="P19" s="207">
        <v>0</v>
      </c>
      <c r="Q19" s="207">
        <v>87844</v>
      </c>
      <c r="R19" s="207">
        <v>286266</v>
      </c>
      <c r="S19" s="207">
        <v>147684</v>
      </c>
    </row>
    <row r="20" spans="1:22" x14ac:dyDescent="0.25">
      <c r="A20" s="763" t="s">
        <v>7</v>
      </c>
      <c r="B20" s="23" t="s">
        <v>11</v>
      </c>
      <c r="C20" s="206">
        <f t="shared" si="3"/>
        <v>0</v>
      </c>
      <c r="D20" s="207">
        <v>0</v>
      </c>
      <c r="E20" s="207">
        <v>0</v>
      </c>
      <c r="F20" s="207">
        <v>0</v>
      </c>
      <c r="G20" s="207">
        <v>0</v>
      </c>
      <c r="H20" s="207">
        <v>0</v>
      </c>
      <c r="I20" s="207">
        <v>0</v>
      </c>
      <c r="J20" s="207">
        <v>0</v>
      </c>
      <c r="K20" s="207">
        <v>0</v>
      </c>
      <c r="L20" s="207">
        <v>0</v>
      </c>
      <c r="M20" s="207">
        <v>0</v>
      </c>
      <c r="N20" s="207">
        <v>0</v>
      </c>
      <c r="O20" s="207">
        <v>0</v>
      </c>
      <c r="P20" s="207">
        <v>0</v>
      </c>
      <c r="Q20" s="207">
        <v>0</v>
      </c>
      <c r="R20" s="207">
        <v>0</v>
      </c>
      <c r="S20" s="207">
        <v>0</v>
      </c>
    </row>
    <row r="21" spans="1:22" x14ac:dyDescent="0.25">
      <c r="A21" s="764"/>
      <c r="B21" s="23" t="s">
        <v>818</v>
      </c>
      <c r="C21" s="206">
        <f t="shared" si="3"/>
        <v>147000</v>
      </c>
      <c r="D21" s="207">
        <v>32000</v>
      </c>
      <c r="E21" s="207">
        <v>20000</v>
      </c>
      <c r="F21" s="207">
        <v>1000</v>
      </c>
      <c r="G21" s="541">
        <v>3000</v>
      </c>
      <c r="H21" s="207">
        <v>1000</v>
      </c>
      <c r="I21" s="207">
        <v>7000</v>
      </c>
      <c r="J21" s="207">
        <v>8000</v>
      </c>
      <c r="K21" s="207">
        <v>14000</v>
      </c>
      <c r="L21" s="207">
        <v>6000</v>
      </c>
      <c r="M21" s="207">
        <v>6000</v>
      </c>
      <c r="N21" s="207">
        <v>11000</v>
      </c>
      <c r="O21" s="207">
        <v>4000</v>
      </c>
      <c r="P21" s="207">
        <v>4000</v>
      </c>
      <c r="Q21" s="207">
        <v>6000</v>
      </c>
      <c r="R21" s="207">
        <v>13000</v>
      </c>
      <c r="S21" s="207">
        <v>11000</v>
      </c>
    </row>
    <row r="22" spans="1:22" x14ac:dyDescent="0.25">
      <c r="A22" s="22" t="s">
        <v>10</v>
      </c>
      <c r="B22" s="23" t="str">
        <f>A22</f>
        <v>Intereses</v>
      </c>
      <c r="C22" s="206">
        <f t="shared" si="3"/>
        <v>0</v>
      </c>
      <c r="D22" s="207">
        <v>0</v>
      </c>
      <c r="E22" s="207">
        <f>D22</f>
        <v>0</v>
      </c>
      <c r="F22" s="207">
        <f t="shared" ref="F22:S22" si="11">E22</f>
        <v>0</v>
      </c>
      <c r="G22" s="207">
        <f t="shared" si="11"/>
        <v>0</v>
      </c>
      <c r="H22" s="207">
        <f t="shared" si="11"/>
        <v>0</v>
      </c>
      <c r="I22" s="207">
        <f t="shared" si="11"/>
        <v>0</v>
      </c>
      <c r="J22" s="207">
        <f t="shared" si="11"/>
        <v>0</v>
      </c>
      <c r="K22" s="207">
        <f t="shared" si="11"/>
        <v>0</v>
      </c>
      <c r="L22" s="207">
        <f t="shared" si="11"/>
        <v>0</v>
      </c>
      <c r="M22" s="207">
        <f t="shared" si="11"/>
        <v>0</v>
      </c>
      <c r="N22" s="207">
        <f t="shared" si="11"/>
        <v>0</v>
      </c>
      <c r="O22" s="207">
        <f t="shared" si="11"/>
        <v>0</v>
      </c>
      <c r="P22" s="207">
        <f t="shared" si="11"/>
        <v>0</v>
      </c>
      <c r="Q22" s="207">
        <f t="shared" si="11"/>
        <v>0</v>
      </c>
      <c r="R22" s="207">
        <f t="shared" si="11"/>
        <v>0</v>
      </c>
      <c r="S22" s="207">
        <f t="shared" si="11"/>
        <v>0</v>
      </c>
    </row>
    <row r="23" spans="1:22" s="31" customFormat="1" ht="18.75" x14ac:dyDescent="0.3">
      <c r="A23" s="25" t="s">
        <v>15</v>
      </c>
      <c r="B23" s="26"/>
      <c r="C23" s="209">
        <f t="shared" si="3"/>
        <v>12716228</v>
      </c>
      <c r="D23" s="210">
        <f t="shared" ref="D23:S23" si="12">SUM(D14:D22)</f>
        <v>521308</v>
      </c>
      <c r="E23" s="210">
        <f t="shared" si="12"/>
        <v>511260</v>
      </c>
      <c r="F23" s="210">
        <f t="shared" si="12"/>
        <v>492260</v>
      </c>
      <c r="G23" s="210">
        <f t="shared" si="12"/>
        <v>476084</v>
      </c>
      <c r="H23" s="210">
        <f t="shared" si="12"/>
        <v>467084</v>
      </c>
      <c r="I23" s="210">
        <f t="shared" si="12"/>
        <v>461668</v>
      </c>
      <c r="J23" s="210">
        <f t="shared" si="12"/>
        <v>2493160</v>
      </c>
      <c r="K23" s="210">
        <f t="shared" si="12"/>
        <v>476552</v>
      </c>
      <c r="L23" s="210">
        <f t="shared" si="12"/>
        <v>471048</v>
      </c>
      <c r="M23" s="210">
        <f t="shared" si="12"/>
        <v>3071798</v>
      </c>
      <c r="N23" s="210">
        <f t="shared" si="12"/>
        <v>467210</v>
      </c>
      <c r="O23" s="210">
        <f t="shared" si="12"/>
        <v>475766</v>
      </c>
      <c r="P23" s="210">
        <f t="shared" si="12"/>
        <v>445632</v>
      </c>
      <c r="Q23" s="210">
        <f t="shared" si="12"/>
        <v>535476</v>
      </c>
      <c r="R23" s="210">
        <f t="shared" si="12"/>
        <v>741174</v>
      </c>
      <c r="S23" s="210">
        <f t="shared" si="12"/>
        <v>608748</v>
      </c>
      <c r="U23" s="23" t="s">
        <v>1</v>
      </c>
      <c r="V23" s="220">
        <f>C14/$C$23</f>
        <v>0.43369857791162597</v>
      </c>
    </row>
    <row r="24" spans="1:22" s="7" customFormat="1" ht="18.75" x14ac:dyDescent="0.3">
      <c r="A24" s="9" t="s">
        <v>20</v>
      </c>
      <c r="B24" s="9"/>
      <c r="C24" s="197">
        <f>C5+C13-C23</f>
        <v>1941357</v>
      </c>
      <c r="D24" s="197">
        <f t="shared" ref="D24:S24" si="13">D5+D13-D23</f>
        <v>745624</v>
      </c>
      <c r="E24" s="197">
        <f t="shared" si="13"/>
        <v>1761540</v>
      </c>
      <c r="F24" s="197">
        <f t="shared" si="13"/>
        <v>3088746</v>
      </c>
      <c r="G24" s="197">
        <f t="shared" si="13"/>
        <v>2852112</v>
      </c>
      <c r="H24" s="197">
        <f t="shared" si="13"/>
        <v>2996231</v>
      </c>
      <c r="I24" s="197">
        <f t="shared" si="13"/>
        <v>3401984</v>
      </c>
      <c r="J24" s="197">
        <f t="shared" si="13"/>
        <v>2083198</v>
      </c>
      <c r="K24" s="197">
        <f t="shared" si="13"/>
        <v>2174694</v>
      </c>
      <c r="L24" s="197">
        <f t="shared" si="13"/>
        <v>3296736</v>
      </c>
      <c r="M24" s="197">
        <f t="shared" si="13"/>
        <v>1769773</v>
      </c>
      <c r="N24" s="197">
        <f t="shared" si="13"/>
        <v>1538598</v>
      </c>
      <c r="O24" s="197">
        <f t="shared" si="13"/>
        <v>1420843</v>
      </c>
      <c r="P24" s="197">
        <f t="shared" si="13"/>
        <v>1583224</v>
      </c>
      <c r="Q24" s="197">
        <f t="shared" si="13"/>
        <v>1193656</v>
      </c>
      <c r="R24" s="197">
        <f t="shared" si="13"/>
        <v>1146100</v>
      </c>
      <c r="S24" s="197">
        <f t="shared" si="13"/>
        <v>1941357</v>
      </c>
      <c r="U24" s="23" t="s">
        <v>29</v>
      </c>
      <c r="V24" s="220">
        <f t="shared" ref="V24:V31" si="14">C15/$C$23</f>
        <v>4.5177862491927637E-2</v>
      </c>
    </row>
    <row r="25" spans="1:22" s="178" customFormat="1" x14ac:dyDescent="0.25">
      <c r="A25" s="182"/>
      <c r="B25" s="182"/>
      <c r="C25" s="182"/>
      <c r="D25" s="183">
        <f>D2+6</f>
        <v>41859</v>
      </c>
      <c r="E25" s="183">
        <f>D25+7</f>
        <v>41866</v>
      </c>
      <c r="F25" s="183">
        <f t="shared" ref="F25:S25" si="15">E25+7</f>
        <v>41873</v>
      </c>
      <c r="G25" s="183">
        <f t="shared" si="15"/>
        <v>41880</v>
      </c>
      <c r="H25" s="183">
        <f t="shared" si="15"/>
        <v>41887</v>
      </c>
      <c r="I25" s="183">
        <f t="shared" si="15"/>
        <v>41894</v>
      </c>
      <c r="J25" s="183">
        <f t="shared" si="15"/>
        <v>41901</v>
      </c>
      <c r="K25" s="183">
        <f t="shared" si="15"/>
        <v>41908</v>
      </c>
      <c r="L25" s="183">
        <f t="shared" si="15"/>
        <v>41915</v>
      </c>
      <c r="M25" s="183">
        <f t="shared" si="15"/>
        <v>41922</v>
      </c>
      <c r="N25" s="183">
        <f t="shared" si="15"/>
        <v>41929</v>
      </c>
      <c r="O25" s="183">
        <f t="shared" si="15"/>
        <v>41936</v>
      </c>
      <c r="P25" s="183">
        <f t="shared" si="15"/>
        <v>41943</v>
      </c>
      <c r="Q25" s="183">
        <f t="shared" si="15"/>
        <v>41950</v>
      </c>
      <c r="R25" s="183">
        <f t="shared" si="15"/>
        <v>41957</v>
      </c>
      <c r="S25" s="183">
        <f t="shared" si="15"/>
        <v>41964</v>
      </c>
      <c r="U25" s="23" t="s">
        <v>30</v>
      </c>
      <c r="V25" s="220">
        <f t="shared" si="14"/>
        <v>0</v>
      </c>
    </row>
    <row r="26" spans="1:22" s="178" customFormat="1" x14ac:dyDescent="0.25">
      <c r="A26" s="732" t="s">
        <v>942</v>
      </c>
      <c r="B26" s="732"/>
      <c r="C26" s="223">
        <f>C6+C7+C11</f>
        <v>5965190</v>
      </c>
      <c r="D26" s="223">
        <f t="shared" ref="D26:S26" si="16">D6+D7+D11</f>
        <v>126017</v>
      </c>
      <c r="E26" s="223">
        <f t="shared" si="16"/>
        <v>208148</v>
      </c>
      <c r="F26" s="223">
        <f t="shared" si="16"/>
        <v>694234</v>
      </c>
      <c r="G26" s="223">
        <f t="shared" si="16"/>
        <v>239450</v>
      </c>
      <c r="H26" s="223">
        <f t="shared" si="16"/>
        <v>531209</v>
      </c>
      <c r="I26" s="223">
        <f>I6+I7+I11</f>
        <v>612523</v>
      </c>
      <c r="J26" s="223">
        <f>J6+J7+J11</f>
        <v>146818</v>
      </c>
      <c r="K26" s="223">
        <f t="shared" si="16"/>
        <v>559806</v>
      </c>
      <c r="L26" s="223">
        <f t="shared" si="16"/>
        <v>150484</v>
      </c>
      <c r="M26" s="223">
        <f t="shared" si="16"/>
        <v>707085</v>
      </c>
      <c r="N26" s="223">
        <f t="shared" si="16"/>
        <v>147326</v>
      </c>
      <c r="O26" s="223">
        <f t="shared" si="16"/>
        <v>147466</v>
      </c>
      <c r="P26" s="223">
        <f t="shared" si="16"/>
        <v>606618</v>
      </c>
      <c r="Q26" s="223">
        <f t="shared" si="16"/>
        <v>144543</v>
      </c>
      <c r="R26" s="223">
        <f t="shared" si="16"/>
        <v>692685</v>
      </c>
      <c r="S26" s="223">
        <f t="shared" si="16"/>
        <v>250778</v>
      </c>
      <c r="T26" s="194"/>
      <c r="U26" s="23" t="s">
        <v>6</v>
      </c>
      <c r="V26" s="220">
        <f t="shared" si="14"/>
        <v>7.5494085195704261E-2</v>
      </c>
    </row>
    <row r="27" spans="1:22" s="178" customFormat="1" x14ac:dyDescent="0.25">
      <c r="A27" s="733" t="s">
        <v>943</v>
      </c>
      <c r="B27" s="733"/>
      <c r="C27" s="224">
        <f>C14+C15+C17+C18+C21</f>
        <v>7516502</v>
      </c>
      <c r="D27" s="224">
        <f t="shared" ref="D27:S27" si="17">D14+D15+D17+D18+D21</f>
        <v>521308</v>
      </c>
      <c r="E27" s="224">
        <f t="shared" si="17"/>
        <v>511260</v>
      </c>
      <c r="F27" s="224">
        <f t="shared" si="17"/>
        <v>492260</v>
      </c>
      <c r="G27" s="224">
        <f t="shared" si="17"/>
        <v>476084</v>
      </c>
      <c r="H27" s="224">
        <f t="shared" si="17"/>
        <v>467084</v>
      </c>
      <c r="I27" s="224">
        <f t="shared" si="17"/>
        <v>461668</v>
      </c>
      <c r="J27" s="224">
        <f t="shared" si="17"/>
        <v>460220</v>
      </c>
      <c r="K27" s="224">
        <f t="shared" si="17"/>
        <v>476552</v>
      </c>
      <c r="L27" s="224">
        <f t="shared" si="17"/>
        <v>471048</v>
      </c>
      <c r="M27" s="224">
        <f t="shared" si="17"/>
        <v>453666</v>
      </c>
      <c r="N27" s="224">
        <f t="shared" si="17"/>
        <v>467210</v>
      </c>
      <c r="O27" s="224">
        <f t="shared" si="17"/>
        <v>448906</v>
      </c>
      <c r="P27" s="224">
        <f t="shared" si="17"/>
        <v>445632</v>
      </c>
      <c r="Q27" s="224">
        <f t="shared" si="17"/>
        <v>447632</v>
      </c>
      <c r="R27" s="224">
        <f t="shared" si="17"/>
        <v>454908</v>
      </c>
      <c r="S27" s="224">
        <f t="shared" si="17"/>
        <v>461064</v>
      </c>
      <c r="T27" s="195"/>
      <c r="U27" s="23" t="s">
        <v>8</v>
      </c>
      <c r="V27" s="220">
        <f t="shared" si="14"/>
        <v>2.5164695065234752E-2</v>
      </c>
    </row>
    <row r="28" spans="1:22" x14ac:dyDescent="0.25">
      <c r="A28" s="734" t="s">
        <v>944</v>
      </c>
      <c r="B28" s="734"/>
      <c r="C28" s="212">
        <f>C26-C27</f>
        <v>-1551312</v>
      </c>
      <c r="D28" s="212">
        <f t="shared" ref="D28:S28" si="18">D26-D27</f>
        <v>-395291</v>
      </c>
      <c r="E28" s="212">
        <f t="shared" si="18"/>
        <v>-303112</v>
      </c>
      <c r="F28" s="212">
        <f t="shared" si="18"/>
        <v>201974</v>
      </c>
      <c r="G28" s="212">
        <f t="shared" si="18"/>
        <v>-236634</v>
      </c>
      <c r="H28" s="212">
        <f t="shared" si="18"/>
        <v>64125</v>
      </c>
      <c r="I28" s="212">
        <f t="shared" si="18"/>
        <v>150855</v>
      </c>
      <c r="J28" s="212">
        <f t="shared" si="18"/>
        <v>-313402</v>
      </c>
      <c r="K28" s="212">
        <f t="shared" si="18"/>
        <v>83254</v>
      </c>
      <c r="L28" s="212">
        <f t="shared" si="18"/>
        <v>-320564</v>
      </c>
      <c r="M28" s="212">
        <f t="shared" si="18"/>
        <v>253419</v>
      </c>
      <c r="N28" s="212">
        <f t="shared" si="18"/>
        <v>-319884</v>
      </c>
      <c r="O28" s="212">
        <f t="shared" si="18"/>
        <v>-301440</v>
      </c>
      <c r="P28" s="212">
        <f t="shared" si="18"/>
        <v>160986</v>
      </c>
      <c r="Q28" s="212">
        <f t="shared" si="18"/>
        <v>-303089</v>
      </c>
      <c r="R28" s="212">
        <f t="shared" si="18"/>
        <v>237777</v>
      </c>
      <c r="S28" s="212">
        <f t="shared" si="18"/>
        <v>-210286</v>
      </c>
      <c r="T28" s="192"/>
      <c r="U28" s="23" t="s">
        <v>50</v>
      </c>
      <c r="V28" s="220">
        <f t="shared" si="14"/>
        <v>0.40890474753991513</v>
      </c>
    </row>
    <row r="29" spans="1:22" x14ac:dyDescent="0.25">
      <c r="A29" s="732" t="s">
        <v>945</v>
      </c>
      <c r="B29" s="732"/>
      <c r="C29" s="223">
        <f>C8+C9+C10+C12</f>
        <v>7780607</v>
      </c>
      <c r="D29" s="223">
        <f t="shared" ref="D29:S29" si="19">D8+D9+D10+D12</f>
        <v>229127</v>
      </c>
      <c r="E29" s="223">
        <f t="shared" si="19"/>
        <v>1319028</v>
      </c>
      <c r="F29" s="223">
        <f t="shared" si="19"/>
        <v>1125232</v>
      </c>
      <c r="G29" s="223">
        <f t="shared" si="19"/>
        <v>0</v>
      </c>
      <c r="H29" s="223">
        <f t="shared" si="19"/>
        <v>79994</v>
      </c>
      <c r="I29" s="223">
        <f t="shared" si="19"/>
        <v>254898</v>
      </c>
      <c r="J29" s="223">
        <f t="shared" si="19"/>
        <v>1027556</v>
      </c>
      <c r="K29" s="223">
        <f t="shared" si="19"/>
        <v>8242</v>
      </c>
      <c r="L29" s="223">
        <f t="shared" si="19"/>
        <v>1442606</v>
      </c>
      <c r="M29" s="223">
        <f t="shared" si="19"/>
        <v>837750</v>
      </c>
      <c r="N29" s="223">
        <f t="shared" si="19"/>
        <v>88709</v>
      </c>
      <c r="O29" s="223">
        <f t="shared" si="19"/>
        <v>210545</v>
      </c>
      <c r="P29" s="223">
        <f t="shared" si="19"/>
        <v>1395</v>
      </c>
      <c r="Q29" s="223">
        <f t="shared" si="19"/>
        <v>1365</v>
      </c>
      <c r="R29" s="223">
        <f t="shared" si="19"/>
        <v>933</v>
      </c>
      <c r="S29" s="223">
        <f t="shared" si="19"/>
        <v>1153227</v>
      </c>
      <c r="T29" s="192"/>
      <c r="U29" s="23" t="s">
        <v>11</v>
      </c>
      <c r="V29" s="220">
        <f t="shared" si="14"/>
        <v>0</v>
      </c>
    </row>
    <row r="30" spans="1:22" s="6" customFormat="1" x14ac:dyDescent="0.25">
      <c r="A30" s="733" t="s">
        <v>946</v>
      </c>
      <c r="B30" s="733"/>
      <c r="C30" s="224">
        <f>C16+C19+C20+C22</f>
        <v>5199726</v>
      </c>
      <c r="D30" s="224">
        <f t="shared" ref="D30:S30" si="20">D16+D19+D20+D22</f>
        <v>0</v>
      </c>
      <c r="E30" s="224">
        <f t="shared" si="20"/>
        <v>0</v>
      </c>
      <c r="F30" s="224">
        <f t="shared" si="20"/>
        <v>0</v>
      </c>
      <c r="G30" s="224">
        <f t="shared" si="20"/>
        <v>0</v>
      </c>
      <c r="H30" s="224">
        <f t="shared" si="20"/>
        <v>0</v>
      </c>
      <c r="I30" s="224">
        <f t="shared" si="20"/>
        <v>0</v>
      </c>
      <c r="J30" s="224">
        <f t="shared" si="20"/>
        <v>2032940</v>
      </c>
      <c r="K30" s="224">
        <f t="shared" si="20"/>
        <v>0</v>
      </c>
      <c r="L30" s="224">
        <f t="shared" si="20"/>
        <v>0</v>
      </c>
      <c r="M30" s="224">
        <f t="shared" si="20"/>
        <v>2618132</v>
      </c>
      <c r="N30" s="224">
        <f t="shared" si="20"/>
        <v>0</v>
      </c>
      <c r="O30" s="224">
        <f t="shared" si="20"/>
        <v>26860</v>
      </c>
      <c r="P30" s="224">
        <f t="shared" si="20"/>
        <v>0</v>
      </c>
      <c r="Q30" s="224">
        <f t="shared" si="20"/>
        <v>87844</v>
      </c>
      <c r="R30" s="224">
        <f t="shared" si="20"/>
        <v>286266</v>
      </c>
      <c r="S30" s="224">
        <f t="shared" si="20"/>
        <v>147684</v>
      </c>
      <c r="U30" s="23" t="s">
        <v>818</v>
      </c>
      <c r="V30" s="220">
        <f t="shared" si="14"/>
        <v>1.1560031795592215E-2</v>
      </c>
    </row>
    <row r="31" spans="1:22" s="6" customFormat="1" x14ac:dyDescent="0.25">
      <c r="A31" s="734" t="s">
        <v>947</v>
      </c>
      <c r="B31" s="734"/>
      <c r="C31" s="212">
        <f>C29-C30</f>
        <v>2580881</v>
      </c>
      <c r="D31" s="212">
        <f t="shared" ref="D31:S31" si="21">D29-D30</f>
        <v>229127</v>
      </c>
      <c r="E31" s="212">
        <f t="shared" si="21"/>
        <v>1319028</v>
      </c>
      <c r="F31" s="212">
        <f t="shared" si="21"/>
        <v>1125232</v>
      </c>
      <c r="G31" s="212">
        <f t="shared" si="21"/>
        <v>0</v>
      </c>
      <c r="H31" s="212">
        <f t="shared" si="21"/>
        <v>79994</v>
      </c>
      <c r="I31" s="212">
        <f t="shared" si="21"/>
        <v>254898</v>
      </c>
      <c r="J31" s="212">
        <f t="shared" si="21"/>
        <v>-1005384</v>
      </c>
      <c r="K31" s="212">
        <f t="shared" si="21"/>
        <v>8242</v>
      </c>
      <c r="L31" s="212">
        <f t="shared" si="21"/>
        <v>1442606</v>
      </c>
      <c r="M31" s="212">
        <f t="shared" si="21"/>
        <v>-1780382</v>
      </c>
      <c r="N31" s="212">
        <f t="shared" si="21"/>
        <v>88709</v>
      </c>
      <c r="O31" s="212">
        <f t="shared" si="21"/>
        <v>183685</v>
      </c>
      <c r="P31" s="212">
        <f t="shared" si="21"/>
        <v>1395</v>
      </c>
      <c r="Q31" s="212">
        <f t="shared" si="21"/>
        <v>-86479</v>
      </c>
      <c r="R31" s="212">
        <f t="shared" si="21"/>
        <v>-285333</v>
      </c>
      <c r="S31" s="212">
        <f t="shared" si="21"/>
        <v>1005543</v>
      </c>
      <c r="U31" s="23" t="s">
        <v>10</v>
      </c>
      <c r="V31" s="220">
        <f t="shared" si="14"/>
        <v>0</v>
      </c>
    </row>
    <row r="32" spans="1:22" s="6" customFormat="1" ht="18.75" x14ac:dyDescent="0.3">
      <c r="A32" s="192"/>
      <c r="B32" s="192"/>
      <c r="C32" s="192"/>
      <c r="D32" s="192"/>
      <c r="E32" s="192"/>
      <c r="F32" s="192"/>
      <c r="G32" s="192"/>
      <c r="H32" s="192"/>
      <c r="I32" s="192"/>
      <c r="J32" s="192"/>
      <c r="K32" s="192"/>
      <c r="L32" s="192"/>
      <c r="M32" s="192"/>
      <c r="N32" s="192"/>
      <c r="O32" s="192"/>
      <c r="P32" s="192"/>
      <c r="Q32" s="192"/>
      <c r="R32" s="192"/>
      <c r="S32" s="192"/>
      <c r="V32" s="221">
        <f>SUM(V23:V31)</f>
        <v>0.99999999999999989</v>
      </c>
    </row>
    <row r="33" spans="1:22" s="6" customFormat="1" ht="18.75" x14ac:dyDescent="0.3">
      <c r="A33" s="27"/>
      <c r="B33" s="752" t="s">
        <v>821</v>
      </c>
      <c r="C33" s="167" t="s">
        <v>819</v>
      </c>
      <c r="D33" s="189">
        <v>2162926</v>
      </c>
      <c r="E33" s="189">
        <v>2162926</v>
      </c>
      <c r="F33" s="189">
        <v>2162926</v>
      </c>
      <c r="G33" s="189">
        <v>2162926</v>
      </c>
      <c r="H33" s="189">
        <v>2162926</v>
      </c>
      <c r="I33" s="189">
        <v>2162926</v>
      </c>
      <c r="J33" s="189">
        <v>2162926</v>
      </c>
      <c r="K33" s="189">
        <v>2162926</v>
      </c>
      <c r="L33" s="189">
        <v>2162926</v>
      </c>
      <c r="M33" s="189">
        <v>2162926</v>
      </c>
      <c r="N33" s="189">
        <v>2162926</v>
      </c>
      <c r="O33" s="189">
        <v>2181854</v>
      </c>
      <c r="P33" s="189">
        <v>2181854</v>
      </c>
      <c r="Q33" s="189">
        <v>2181854</v>
      </c>
      <c r="R33" s="189">
        <v>2181854</v>
      </c>
      <c r="S33" s="189">
        <v>2181854</v>
      </c>
      <c r="U33" s="746">
        <f>C23</f>
        <v>12716228</v>
      </c>
      <c r="V33" s="747"/>
    </row>
    <row r="34" spans="1:22" x14ac:dyDescent="0.25">
      <c r="A34" s="27"/>
      <c r="B34" s="753"/>
      <c r="C34" s="167" t="s">
        <v>481</v>
      </c>
      <c r="D34" s="189">
        <v>24685979</v>
      </c>
      <c r="E34" s="189">
        <v>23666000</v>
      </c>
      <c r="F34" s="189">
        <v>23666000</v>
      </c>
      <c r="G34" s="189">
        <v>23666000</v>
      </c>
      <c r="H34" s="189">
        <v>23666000</v>
      </c>
      <c r="I34" s="189">
        <v>23666000</v>
      </c>
      <c r="J34" s="189">
        <v>23661000</v>
      </c>
      <c r="K34" s="189">
        <v>23661000</v>
      </c>
      <c r="L34" s="189">
        <v>22626130</v>
      </c>
      <c r="M34" s="189">
        <v>23951130</v>
      </c>
      <c r="N34" s="189">
        <v>23951130</v>
      </c>
      <c r="O34" s="189">
        <v>23951130</v>
      </c>
      <c r="P34" s="189">
        <v>23951130</v>
      </c>
      <c r="Q34" s="189">
        <v>23951130</v>
      </c>
      <c r="R34" s="189">
        <v>23951130</v>
      </c>
      <c r="S34" s="189">
        <v>23951130</v>
      </c>
    </row>
    <row r="35" spans="1:22" x14ac:dyDescent="0.25">
      <c r="A35" s="27"/>
      <c r="B35" s="753"/>
      <c r="C35" s="167" t="s">
        <v>1385</v>
      </c>
      <c r="D35" s="189">
        <v>931773</v>
      </c>
      <c r="E35" s="189">
        <v>283228</v>
      </c>
      <c r="F35" s="189">
        <v>283228</v>
      </c>
      <c r="G35" s="189">
        <v>283228</v>
      </c>
      <c r="H35" s="189">
        <v>283228</v>
      </c>
      <c r="I35" s="189">
        <v>142212</v>
      </c>
      <c r="J35" s="189">
        <v>142212</v>
      </c>
      <c r="K35" s="189">
        <v>142212</v>
      </c>
      <c r="L35" s="189">
        <v>35924</v>
      </c>
      <c r="M35" s="189">
        <v>35924</v>
      </c>
      <c r="N35" s="189">
        <v>0</v>
      </c>
      <c r="O35" s="189">
        <v>0</v>
      </c>
      <c r="P35" s="189">
        <v>0</v>
      </c>
      <c r="Q35" s="189">
        <v>85000</v>
      </c>
      <c r="R35" s="189">
        <v>363500</v>
      </c>
      <c r="S35" s="189">
        <v>507500</v>
      </c>
    </row>
    <row r="36" spans="1:22" x14ac:dyDescent="0.25">
      <c r="A36" s="27"/>
      <c r="B36" s="754"/>
      <c r="C36" s="299" t="s">
        <v>291</v>
      </c>
      <c r="D36" s="300">
        <v>27780678</v>
      </c>
      <c r="E36" s="300">
        <v>26112154</v>
      </c>
      <c r="F36" s="300">
        <v>26112154</v>
      </c>
      <c r="G36" s="300">
        <v>26112154</v>
      </c>
      <c r="H36" s="300">
        <v>26112154</v>
      </c>
      <c r="I36" s="300">
        <f t="shared" ref="I36" si="22">I35+I34+I33</f>
        <v>25971138</v>
      </c>
      <c r="J36" s="300">
        <v>25966138</v>
      </c>
      <c r="K36" s="300">
        <v>25966138</v>
      </c>
      <c r="L36" s="300">
        <v>24824980</v>
      </c>
      <c r="M36" s="300">
        <v>26149980</v>
      </c>
      <c r="N36" s="300">
        <v>26114056</v>
      </c>
      <c r="O36" s="300">
        <v>26132984</v>
      </c>
      <c r="P36" s="300">
        <v>26132984</v>
      </c>
      <c r="Q36" s="300">
        <v>26217984</v>
      </c>
      <c r="R36" s="300">
        <v>26496484</v>
      </c>
      <c r="S36" s="300">
        <v>26640484</v>
      </c>
    </row>
    <row r="37" spans="1:22" x14ac:dyDescent="0.25">
      <c r="C37" s="192"/>
      <c r="E37" s="247"/>
      <c r="F37" s="247"/>
      <c r="H37" s="247"/>
      <c r="J37"/>
      <c r="K37"/>
      <c r="L37"/>
    </row>
    <row r="38" spans="1:22" ht="15" customHeight="1" x14ac:dyDescent="0.25">
      <c r="E38"/>
      <c r="J38" s="731"/>
      <c r="K38" s="731"/>
    </row>
    <row r="39" spans="1:22" x14ac:dyDescent="0.25">
      <c r="B39" s="5"/>
      <c r="C39" s="2" t="s">
        <v>1830</v>
      </c>
      <c r="D39" s="507">
        <v>95835</v>
      </c>
      <c r="E39" s="507">
        <v>108784</v>
      </c>
      <c r="F39" s="540">
        <v>116555</v>
      </c>
      <c r="G39" s="506">
        <v>120995</v>
      </c>
      <c r="H39" s="540">
        <v>123585</v>
      </c>
      <c r="I39" s="540">
        <v>125065</v>
      </c>
      <c r="J39" s="504">
        <v>125990</v>
      </c>
      <c r="K39" s="504">
        <v>126545</v>
      </c>
      <c r="L39" s="505">
        <v>126915</v>
      </c>
      <c r="M39" s="505">
        <v>127285</v>
      </c>
      <c r="N39" s="505">
        <v>127655</v>
      </c>
      <c r="O39" s="505">
        <v>127840</v>
      </c>
      <c r="P39" s="505">
        <v>128025</v>
      </c>
      <c r="Q39" s="505">
        <v>128025</v>
      </c>
      <c r="R39" s="505">
        <v>128025</v>
      </c>
      <c r="S39" s="505">
        <v>128210</v>
      </c>
    </row>
    <row r="40" spans="1:22" x14ac:dyDescent="0.25">
      <c r="H40" s="478"/>
      <c r="I40" s="478"/>
      <c r="J40" s="478"/>
      <c r="K40" s="478"/>
      <c r="L40" s="478"/>
    </row>
    <row r="41" spans="1:22" x14ac:dyDescent="0.25">
      <c r="H41" s="500"/>
      <c r="I41" s="500"/>
      <c r="J41" s="500"/>
      <c r="K41" s="500"/>
    </row>
    <row r="42" spans="1:22" x14ac:dyDescent="0.25">
      <c r="H42" s="500"/>
      <c r="I42" s="500"/>
      <c r="J42" s="500"/>
      <c r="K42" s="500"/>
    </row>
    <row r="43" spans="1:22" x14ac:dyDescent="0.25">
      <c r="H43" s="478"/>
      <c r="I43" s="478"/>
      <c r="J43" s="500"/>
      <c r="K43" s="500"/>
    </row>
    <row r="44" spans="1:22" x14ac:dyDescent="0.25">
      <c r="H44" s="500"/>
      <c r="I44" s="500"/>
      <c r="J44" s="500"/>
      <c r="K44" s="500"/>
    </row>
    <row r="45" spans="1:22" x14ac:dyDescent="0.25">
      <c r="H45" s="500"/>
      <c r="I45" s="500"/>
      <c r="J45" s="500"/>
      <c r="K45" s="500"/>
    </row>
    <row r="46" spans="1:22" x14ac:dyDescent="0.25">
      <c r="H46" s="500"/>
      <c r="I46" s="500"/>
      <c r="J46" s="500"/>
      <c r="K46" s="500"/>
    </row>
    <row r="47" spans="1:22" x14ac:dyDescent="0.25">
      <c r="H47" s="727"/>
      <c r="I47" s="727"/>
      <c r="J47" s="727"/>
      <c r="K47" s="727"/>
    </row>
    <row r="48" spans="1:22" x14ac:dyDescent="0.25">
      <c r="H48" s="500"/>
      <c r="I48" s="500"/>
      <c r="J48" s="500"/>
      <c r="K48" s="500"/>
    </row>
    <row r="49" spans="8:11" x14ac:dyDescent="0.25">
      <c r="H49" s="727"/>
      <c r="I49" s="727"/>
      <c r="J49" s="727"/>
      <c r="K49" s="727"/>
    </row>
    <row r="50" spans="8:11" ht="15" customHeight="1" x14ac:dyDescent="0.25">
      <c r="H50" s="727"/>
      <c r="I50" s="727"/>
      <c r="J50" s="727"/>
      <c r="K50" s="4"/>
    </row>
  </sheetData>
  <mergeCells count="15">
    <mergeCell ref="U33:V33"/>
    <mergeCell ref="J38:K38"/>
    <mergeCell ref="A11:A12"/>
    <mergeCell ref="U14:V14"/>
    <mergeCell ref="A20:A21"/>
    <mergeCell ref="A26:B26"/>
    <mergeCell ref="A27:B27"/>
    <mergeCell ref="A28:B28"/>
    <mergeCell ref="H47:K47"/>
    <mergeCell ref="H49:K49"/>
    <mergeCell ref="H50:J50"/>
    <mergeCell ref="A29:B29"/>
    <mergeCell ref="A30:B30"/>
    <mergeCell ref="A31:B31"/>
    <mergeCell ref="B33:B36"/>
  </mergeCells>
  <pageMargins left="0.7" right="0.7" top="0.75" bottom="0.75" header="0.3" footer="0.3"/>
  <pageSetup paperSize="9" orientation="portrait" horizontalDpi="200" verticalDpi="200"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X82"/>
  <sheetViews>
    <sheetView zoomScale="90" zoomScaleNormal="90" workbookViewId="0">
      <pane xSplit="9" ySplit="3" topLeftCell="J4" activePane="bottomRight" state="frozen"/>
      <selection pane="topRight" activeCell="J1" sqref="J1"/>
      <selection pane="bottomLeft" activeCell="A3" sqref="A3"/>
      <selection pane="bottomRight" activeCell="F28" sqref="F28"/>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19.7109375" bestFit="1" customWidth="1"/>
    <col min="6" max="6" width="18" style="225" bestFit="1" customWidth="1"/>
    <col min="7" max="7" width="7" style="225" bestFit="1" customWidth="1"/>
    <col min="8" max="8" width="2.85546875" customWidth="1"/>
    <col min="9" max="9" width="7.42578125" style="5" bestFit="1" customWidth="1"/>
    <col min="10" max="10" width="17.42578125" style="6" bestFit="1" customWidth="1"/>
    <col min="11" max="11" width="12.7109375" style="5" bestFit="1" customWidth="1"/>
    <col min="12" max="12" width="10" style="5" bestFit="1" customWidth="1"/>
    <col min="13" max="16" width="12.7109375" style="5" bestFit="1" customWidth="1"/>
    <col min="17" max="17" width="7.5703125" style="502" bestFit="1" customWidth="1"/>
    <col min="18" max="18" width="9" style="5" bestFit="1" customWidth="1"/>
    <col min="19" max="19" width="9.28515625" style="5" bestFit="1" customWidth="1"/>
    <col min="20" max="20" width="11" style="5" bestFit="1" customWidth="1"/>
    <col min="22" max="23" width="12.7109375" bestFit="1" customWidth="1"/>
  </cols>
  <sheetData>
    <row r="1" spans="2:24" ht="9" customHeight="1" x14ac:dyDescent="0.25">
      <c r="I1"/>
      <c r="J1" s="2"/>
      <c r="K1"/>
      <c r="L1"/>
      <c r="M1"/>
      <c r="N1"/>
      <c r="O1"/>
      <c r="P1"/>
      <c r="Q1" s="321"/>
      <c r="R1"/>
      <c r="S1"/>
      <c r="T1"/>
    </row>
    <row r="2" spans="2:24" ht="21" x14ac:dyDescent="0.35">
      <c r="B2" s="735" t="s">
        <v>1827</v>
      </c>
      <c r="C2" s="736"/>
      <c r="D2" s="736"/>
      <c r="E2" s="736"/>
      <c r="F2" s="736"/>
      <c r="G2" s="757"/>
      <c r="I2" s="765" t="s">
        <v>1828</v>
      </c>
      <c r="J2" s="766"/>
      <c r="K2" s="766"/>
      <c r="L2" s="766"/>
      <c r="M2" s="766"/>
      <c r="N2" s="766"/>
      <c r="O2" s="766"/>
      <c r="P2" s="766"/>
      <c r="Q2" s="766"/>
      <c r="R2" s="766"/>
      <c r="S2" s="766"/>
      <c r="T2" s="767"/>
    </row>
    <row r="3" spans="2:24" x14ac:dyDescent="0.25">
      <c r="B3" s="755" t="s">
        <v>1025</v>
      </c>
      <c r="C3" s="749"/>
      <c r="D3" s="749"/>
      <c r="E3" s="749"/>
      <c r="F3" s="749"/>
      <c r="G3" s="756"/>
      <c r="I3" s="346" t="s">
        <v>36</v>
      </c>
      <c r="J3" s="17" t="s">
        <v>481</v>
      </c>
      <c r="K3" s="17" t="s">
        <v>50</v>
      </c>
      <c r="L3" s="17" t="s">
        <v>1332</v>
      </c>
      <c r="M3" s="17" t="s">
        <v>879</v>
      </c>
      <c r="N3" s="17" t="s">
        <v>1333</v>
      </c>
      <c r="O3" s="17" t="s">
        <v>950</v>
      </c>
      <c r="P3" s="17" t="s">
        <v>1336</v>
      </c>
      <c r="Q3" s="406" t="s">
        <v>1326</v>
      </c>
      <c r="R3" s="345" t="s">
        <v>1337</v>
      </c>
      <c r="S3" s="345" t="s">
        <v>1334</v>
      </c>
      <c r="T3" s="345" t="s">
        <v>1335</v>
      </c>
    </row>
    <row r="4" spans="2:24" ht="18.75" x14ac:dyDescent="0.3">
      <c r="B4" s="759" t="s">
        <v>948</v>
      </c>
      <c r="C4" s="760"/>
      <c r="D4" s="268"/>
      <c r="E4" s="761" t="s">
        <v>949</v>
      </c>
      <c r="F4" s="762"/>
      <c r="G4" s="268"/>
      <c r="I4" s="334" t="s">
        <v>1003</v>
      </c>
      <c r="J4" s="337" t="s">
        <v>1918</v>
      </c>
      <c r="K4" s="335">
        <v>0</v>
      </c>
      <c r="L4" s="335">
        <v>0</v>
      </c>
      <c r="M4" s="335">
        <v>54060</v>
      </c>
      <c r="N4" s="335">
        <f>M4-51357</f>
        <v>2703</v>
      </c>
      <c r="O4" s="335">
        <f t="shared" ref="O4:O35" si="0">IF(M4=0,0,M4-K4)-N4</f>
        <v>51357</v>
      </c>
      <c r="P4" s="335">
        <f t="shared" ref="P4:P35" si="1">IF(M4=0,K4,0)</f>
        <v>0</v>
      </c>
      <c r="Q4" s="405" t="s">
        <v>1327</v>
      </c>
      <c r="R4" s="348">
        <v>41895</v>
      </c>
      <c r="S4" s="348">
        <v>41898</v>
      </c>
      <c r="T4" s="353">
        <f>O4</f>
        <v>51357</v>
      </c>
      <c r="V4" s="247"/>
      <c r="X4" s="247"/>
    </row>
    <row r="5" spans="2:24" x14ac:dyDescent="0.25">
      <c r="B5" s="243"/>
      <c r="C5" s="244"/>
      <c r="D5" s="423"/>
      <c r="E5" s="243"/>
      <c r="F5" s="244"/>
      <c r="G5" s="269"/>
      <c r="I5" s="334" t="s">
        <v>1003</v>
      </c>
      <c r="J5" s="337" t="s">
        <v>1927</v>
      </c>
      <c r="K5" s="335">
        <v>0</v>
      </c>
      <c r="L5" s="335">
        <v>0</v>
      </c>
      <c r="M5" s="335">
        <v>7000</v>
      </c>
      <c r="N5" s="335">
        <f>M5-6650</f>
        <v>350</v>
      </c>
      <c r="O5" s="335">
        <f t="shared" si="0"/>
        <v>6650</v>
      </c>
      <c r="P5" s="335">
        <f t="shared" si="1"/>
        <v>0</v>
      </c>
      <c r="Q5" s="405" t="s">
        <v>1327</v>
      </c>
      <c r="R5" s="348">
        <v>41902</v>
      </c>
      <c r="S5" s="348">
        <v>41905</v>
      </c>
      <c r="T5" s="353">
        <f>O5</f>
        <v>6650</v>
      </c>
      <c r="V5" s="247"/>
    </row>
    <row r="6" spans="2:24" x14ac:dyDescent="0.25">
      <c r="B6" s="226" t="s">
        <v>951</v>
      </c>
      <c r="C6" s="242">
        <f>SUM(C7:C9)</f>
        <v>3442910</v>
      </c>
      <c r="D6" s="304">
        <f>C6/$C$34</f>
        <v>7.5837694720518781E-2</v>
      </c>
      <c r="E6" s="226" t="s">
        <v>1329</v>
      </c>
      <c r="F6" s="242">
        <f>F7+F8+F9</f>
        <v>32232218</v>
      </c>
      <c r="G6" s="271">
        <f>F6/$F$34</f>
        <v>0.70998577042362732</v>
      </c>
      <c r="I6" s="334" t="s">
        <v>1004</v>
      </c>
      <c r="J6" s="337" t="s">
        <v>1779</v>
      </c>
      <c r="K6" s="335">
        <v>3548</v>
      </c>
      <c r="L6" s="335">
        <v>0</v>
      </c>
      <c r="M6" s="335">
        <v>200000</v>
      </c>
      <c r="N6" s="335">
        <f>M6-186000</f>
        <v>14000</v>
      </c>
      <c r="O6" s="335">
        <f t="shared" si="0"/>
        <v>182452</v>
      </c>
      <c r="P6" s="335">
        <f t="shared" si="1"/>
        <v>0</v>
      </c>
      <c r="Q6" s="405">
        <f t="shared" ref="Q6:Q38" si="2">O6/K6</f>
        <v>51.423900789177004</v>
      </c>
      <c r="R6" s="348">
        <v>41815</v>
      </c>
      <c r="S6" s="348">
        <v>41932</v>
      </c>
      <c r="T6" s="353">
        <f t="shared" ref="T6:T38" si="3">O6/((S6-R6)/7)</f>
        <v>10915.931623931623</v>
      </c>
      <c r="V6" s="247"/>
    </row>
    <row r="7" spans="2:24" x14ac:dyDescent="0.25">
      <c r="B7" s="249" t="s">
        <v>30</v>
      </c>
      <c r="C7" s="250">
        <f>'A-P_T43'!C7+EconomiaT44!C16</f>
        <v>2850810</v>
      </c>
      <c r="D7" s="424">
        <f>C7/$C$34</f>
        <v>6.27953848593783E-2</v>
      </c>
      <c r="E7" s="425" t="s">
        <v>1029</v>
      </c>
      <c r="F7" s="237">
        <v>300000</v>
      </c>
      <c r="G7" s="272">
        <f>F7/$F$34</f>
        <v>6.6081624021991966E-3</v>
      </c>
      <c r="I7" s="334" t="s">
        <v>1005</v>
      </c>
      <c r="J7" s="337" t="s">
        <v>1796</v>
      </c>
      <c r="K7" s="335">
        <v>2348</v>
      </c>
      <c r="L7" s="335">
        <v>0</v>
      </c>
      <c r="M7" s="335">
        <v>104040</v>
      </c>
      <c r="N7" s="335">
        <f>M7-91805</f>
        <v>12235</v>
      </c>
      <c r="O7" s="335">
        <f t="shared" si="0"/>
        <v>89457</v>
      </c>
      <c r="P7" s="335">
        <f t="shared" si="1"/>
        <v>0</v>
      </c>
      <c r="Q7" s="405">
        <f t="shared" si="2"/>
        <v>38.099233390119252</v>
      </c>
      <c r="R7" s="348">
        <v>41836</v>
      </c>
      <c r="S7" s="348">
        <v>41860</v>
      </c>
      <c r="T7" s="353">
        <f t="shared" si="3"/>
        <v>26091.625</v>
      </c>
      <c r="V7" s="247"/>
    </row>
    <row r="8" spans="2:24" x14ac:dyDescent="0.25">
      <c r="B8" s="249" t="s">
        <v>11</v>
      </c>
      <c r="C8" s="250">
        <f>'A-P_T43'!C8+EconomiaT44!C20</f>
        <v>592100</v>
      </c>
      <c r="D8" s="424">
        <f>C8/$C$34</f>
        <v>1.304230986114048E-2</v>
      </c>
      <c r="E8" s="425" t="s">
        <v>1602</v>
      </c>
      <c r="F8" s="237">
        <f>'A-P_T43'!F9+'A-P_T43'!F8</f>
        <v>32716507</v>
      </c>
      <c r="G8" s="272">
        <f>F8/$F$34</f>
        <v>0.72065330496228941</v>
      </c>
      <c r="I8" s="334" t="s">
        <v>1005</v>
      </c>
      <c r="J8" s="337" t="s">
        <v>1580</v>
      </c>
      <c r="K8" s="335">
        <v>17780</v>
      </c>
      <c r="L8" s="335">
        <v>0</v>
      </c>
      <c r="M8" s="335">
        <v>163200</v>
      </c>
      <c r="N8" s="335">
        <f>M8-143126</f>
        <v>20074</v>
      </c>
      <c r="O8" s="335">
        <f t="shared" si="0"/>
        <v>125346</v>
      </c>
      <c r="P8" s="335">
        <f t="shared" si="1"/>
        <v>0</v>
      </c>
      <c r="Q8" s="405">
        <f t="shared" si="2"/>
        <v>7.0498312710911133</v>
      </c>
      <c r="R8" s="348">
        <v>41841</v>
      </c>
      <c r="S8" s="348">
        <v>41860</v>
      </c>
      <c r="T8" s="353">
        <f t="shared" si="3"/>
        <v>46180.105263157893</v>
      </c>
      <c r="V8" s="247"/>
    </row>
    <row r="9" spans="2:24" x14ac:dyDescent="0.25">
      <c r="B9" s="245" t="s">
        <v>1026</v>
      </c>
      <c r="C9" s="248">
        <v>0</v>
      </c>
      <c r="D9" s="424">
        <f>C9/$C$34</f>
        <v>0</v>
      </c>
      <c r="E9" s="425" t="s">
        <v>1710</v>
      </c>
      <c r="F9" s="237">
        <f>'A-P_T43'!F11-EconomiaT43!C24+EconomiaT43!C5-2579</f>
        <v>-784289</v>
      </c>
      <c r="G9" s="272">
        <f>F9/$F$34</f>
        <v>-1.7275696940861351E-2</v>
      </c>
      <c r="I9" s="334" t="s">
        <v>1005</v>
      </c>
      <c r="J9" s="337" t="s">
        <v>1812</v>
      </c>
      <c r="K9" s="335">
        <v>20684</v>
      </c>
      <c r="L9" s="335">
        <v>0</v>
      </c>
      <c r="M9" s="335">
        <v>102000</v>
      </c>
      <c r="N9" s="335">
        <f>M9-90005</f>
        <v>11995</v>
      </c>
      <c r="O9" s="335">
        <f t="shared" si="0"/>
        <v>69321</v>
      </c>
      <c r="P9" s="335">
        <f t="shared" si="1"/>
        <v>0</v>
      </c>
      <c r="Q9" s="405">
        <f t="shared" si="2"/>
        <v>3.3514310578224715</v>
      </c>
      <c r="R9" s="348">
        <v>41836</v>
      </c>
      <c r="S9" s="348">
        <v>41860</v>
      </c>
      <c r="T9" s="353">
        <f t="shared" si="3"/>
        <v>20218.625</v>
      </c>
      <c r="V9" s="247"/>
    </row>
    <row r="10" spans="2:24" x14ac:dyDescent="0.25">
      <c r="B10" s="228"/>
      <c r="C10" s="227"/>
      <c r="D10" s="304"/>
      <c r="E10" s="426"/>
      <c r="F10" s="227"/>
      <c r="G10" s="271"/>
      <c r="I10" s="334" t="s">
        <v>1005</v>
      </c>
      <c r="J10" s="337" t="s">
        <v>1789</v>
      </c>
      <c r="K10" s="335">
        <v>23073</v>
      </c>
      <c r="L10" s="335">
        <v>0</v>
      </c>
      <c r="M10" s="335">
        <v>102000</v>
      </c>
      <c r="N10" s="335">
        <f>M10-90107</f>
        <v>11893</v>
      </c>
      <c r="O10" s="335">
        <f t="shared" si="0"/>
        <v>67034</v>
      </c>
      <c r="P10" s="335">
        <f t="shared" si="1"/>
        <v>0</v>
      </c>
      <c r="Q10" s="405">
        <f t="shared" si="2"/>
        <v>2.9053005677631862</v>
      </c>
      <c r="R10" s="348">
        <v>41835</v>
      </c>
      <c r="S10" s="348">
        <v>41860</v>
      </c>
      <c r="T10" s="353">
        <f t="shared" si="3"/>
        <v>18769.52</v>
      </c>
      <c r="V10" s="247"/>
    </row>
    <row r="11" spans="2:24" x14ac:dyDescent="0.25">
      <c r="B11" s="226" t="s">
        <v>481</v>
      </c>
      <c r="C11" s="242">
        <f>SUM(C12:C15)</f>
        <v>26640484</v>
      </c>
      <c r="D11" s="304">
        <f>C11/$C$34</f>
        <v>0.5868154824839642</v>
      </c>
      <c r="E11" s="226" t="s">
        <v>1677</v>
      </c>
      <c r="F11" s="242">
        <f>SUM(F12:F17)</f>
        <v>529384</v>
      </c>
      <c r="G11" s="271">
        <f t="shared" ref="G11:G17" si="4">F11/$F$34</f>
        <v>1.1660851483752732E-2</v>
      </c>
      <c r="I11" s="334" t="s">
        <v>1005</v>
      </c>
      <c r="J11" s="337" t="s">
        <v>1787</v>
      </c>
      <c r="K11" s="335">
        <v>35660</v>
      </c>
      <c r="L11" s="335">
        <v>0</v>
      </c>
      <c r="M11" s="335">
        <v>125000</v>
      </c>
      <c r="N11" s="335">
        <f>M11-110425</f>
        <v>14575</v>
      </c>
      <c r="O11" s="335">
        <f t="shared" si="0"/>
        <v>74765</v>
      </c>
      <c r="P11" s="335">
        <f t="shared" si="1"/>
        <v>0</v>
      </c>
      <c r="Q11" s="405">
        <f t="shared" si="2"/>
        <v>2.0966068424004485</v>
      </c>
      <c r="R11" s="348">
        <v>41835</v>
      </c>
      <c r="S11" s="348">
        <v>41860</v>
      </c>
      <c r="T11" s="353">
        <f t="shared" si="3"/>
        <v>20934.199999999997</v>
      </c>
      <c r="V11" s="247"/>
    </row>
    <row r="12" spans="2:24" x14ac:dyDescent="0.25">
      <c r="B12" s="231" t="s">
        <v>1381</v>
      </c>
      <c r="C12" s="232">
        <f>SUMIF(I4:I92,"S",$P$4:$P$92)</f>
        <v>0</v>
      </c>
      <c r="D12" s="424">
        <f>C12/$C$34</f>
        <v>0</v>
      </c>
      <c r="E12" s="339" t="s">
        <v>1194</v>
      </c>
      <c r="F12" s="340">
        <f>SUMIF(I4:I92,"J",$O$4:$O$92)</f>
        <v>-1447825</v>
      </c>
      <c r="G12" s="272">
        <f t="shared" si="4"/>
        <v>-3.1891542433213509E-2</v>
      </c>
      <c r="I12" s="334" t="s">
        <v>1005</v>
      </c>
      <c r="J12" s="337" t="s">
        <v>1783</v>
      </c>
      <c r="K12" s="335">
        <v>72836</v>
      </c>
      <c r="L12" s="335">
        <v>0</v>
      </c>
      <c r="M12" s="335">
        <v>250000</v>
      </c>
      <c r="N12" s="335">
        <f>M12-220600</f>
        <v>29400</v>
      </c>
      <c r="O12" s="335">
        <f t="shared" si="0"/>
        <v>147764</v>
      </c>
      <c r="P12" s="335">
        <f t="shared" si="1"/>
        <v>0</v>
      </c>
      <c r="Q12" s="405">
        <f t="shared" si="2"/>
        <v>2.0287220605195233</v>
      </c>
      <c r="R12" s="348">
        <v>41834</v>
      </c>
      <c r="S12" s="348">
        <v>41858</v>
      </c>
      <c r="T12" s="353">
        <f t="shared" si="3"/>
        <v>43097.833333333336</v>
      </c>
      <c r="V12" s="247"/>
    </row>
    <row r="13" spans="2:24" x14ac:dyDescent="0.25">
      <c r="B13" s="231" t="s">
        <v>481</v>
      </c>
      <c r="C13" s="232">
        <f>SUMIF(I4:I92,"J",$P$4:$P$92)</f>
        <v>23951130</v>
      </c>
      <c r="D13" s="424">
        <f>C13/$C$34</f>
        <v>0.52757652252061749</v>
      </c>
      <c r="E13" s="339" t="s">
        <v>1382</v>
      </c>
      <c r="F13" s="340">
        <f>SUMIF(I4:I92,"S",$O$4:$O$92)</f>
        <v>0</v>
      </c>
      <c r="G13" s="272">
        <f t="shared" si="4"/>
        <v>0</v>
      </c>
      <c r="I13" s="334" t="s">
        <v>1005</v>
      </c>
      <c r="J13" s="337" t="s">
        <v>1814</v>
      </c>
      <c r="K13" s="335">
        <v>27284</v>
      </c>
      <c r="L13" s="335">
        <v>0</v>
      </c>
      <c r="M13" s="335">
        <v>88740</v>
      </c>
      <c r="N13" s="335">
        <f>M13-79671</f>
        <v>9069</v>
      </c>
      <c r="O13" s="335">
        <f t="shared" si="0"/>
        <v>52387</v>
      </c>
      <c r="P13" s="335">
        <f t="shared" si="1"/>
        <v>0</v>
      </c>
      <c r="Q13" s="405">
        <f t="shared" si="2"/>
        <v>1.9200630406098813</v>
      </c>
      <c r="R13" s="348">
        <v>41838</v>
      </c>
      <c r="S13" s="348">
        <v>41881</v>
      </c>
      <c r="T13" s="353">
        <f t="shared" si="3"/>
        <v>8528.1162790697672</v>
      </c>
      <c r="V13" s="247"/>
    </row>
    <row r="14" spans="2:24" x14ac:dyDescent="0.25">
      <c r="B14" s="231" t="s">
        <v>819</v>
      </c>
      <c r="C14" s="232">
        <f>SUMIF(I4:I92,"E",$P$4:$P$92)</f>
        <v>2181854</v>
      </c>
      <c r="D14" s="424">
        <f>C14/$C$34</f>
        <v>4.8060151899626417E-2</v>
      </c>
      <c r="E14" s="339" t="s">
        <v>1195</v>
      </c>
      <c r="F14" s="340">
        <f>SUMIF(I4:I92,"C",$O$4:$O$92)</f>
        <v>58007</v>
      </c>
      <c r="G14" s="272">
        <f t="shared" si="4"/>
        <v>1.2777322548812294E-3</v>
      </c>
      <c r="I14" s="334" t="s">
        <v>1005</v>
      </c>
      <c r="J14" s="337" t="s">
        <v>1824</v>
      </c>
      <c r="K14" s="335">
        <v>26068</v>
      </c>
      <c r="L14" s="335">
        <v>0</v>
      </c>
      <c r="M14" s="335">
        <f>82000</f>
        <v>82000</v>
      </c>
      <c r="N14" s="335">
        <f>M14-71816</f>
        <v>10184</v>
      </c>
      <c r="O14" s="335">
        <f t="shared" si="0"/>
        <v>45748</v>
      </c>
      <c r="P14" s="335">
        <f t="shared" si="1"/>
        <v>0</v>
      </c>
      <c r="Q14" s="405">
        <f t="shared" si="2"/>
        <v>1.7549485959797453</v>
      </c>
      <c r="R14" s="348">
        <v>41842</v>
      </c>
      <c r="S14" s="348">
        <v>41860</v>
      </c>
      <c r="T14" s="353">
        <f t="shared" si="3"/>
        <v>17790.888888888887</v>
      </c>
      <c r="V14" s="247"/>
    </row>
    <row r="15" spans="2:24" x14ac:dyDescent="0.25">
      <c r="B15" s="231" t="s">
        <v>997</v>
      </c>
      <c r="C15" s="232">
        <f>SUMIF(I4:I92,"M",$P$4:$P$92)</f>
        <v>507500</v>
      </c>
      <c r="D15" s="424">
        <f>C15/$C$34</f>
        <v>1.1178808063720307E-2</v>
      </c>
      <c r="E15" s="339" t="s">
        <v>1196</v>
      </c>
      <c r="F15" s="340">
        <f>SUMIF(I4:I92,"E",$O$4:$O$92)</f>
        <v>183648</v>
      </c>
      <c r="G15" s="272">
        <f t="shared" si="4"/>
        <v>4.0452526961302603E-3</v>
      </c>
      <c r="I15" s="334" t="s">
        <v>1005</v>
      </c>
      <c r="J15" s="337" t="s">
        <v>1786</v>
      </c>
      <c r="K15" s="335">
        <v>35948</v>
      </c>
      <c r="L15" s="335">
        <v>0</v>
      </c>
      <c r="M15" s="335">
        <v>108000</v>
      </c>
      <c r="N15" s="335">
        <f>M15-95407</f>
        <v>12593</v>
      </c>
      <c r="O15" s="335">
        <f t="shared" si="0"/>
        <v>59459</v>
      </c>
      <c r="P15" s="335">
        <f t="shared" si="1"/>
        <v>0</v>
      </c>
      <c r="Q15" s="405">
        <f t="shared" si="2"/>
        <v>1.6540280405029486</v>
      </c>
      <c r="R15" s="348">
        <v>41835</v>
      </c>
      <c r="S15" s="348">
        <v>41860</v>
      </c>
      <c r="T15" s="353">
        <f t="shared" si="3"/>
        <v>16648.52</v>
      </c>
      <c r="V15" s="247"/>
    </row>
    <row r="16" spans="2:24" x14ac:dyDescent="0.25">
      <c r="B16" s="235"/>
      <c r="C16" s="236"/>
      <c r="D16" s="304"/>
      <c r="E16" s="339" t="s">
        <v>1197</v>
      </c>
      <c r="F16" s="340">
        <f>SUMIF(I4:I92,"M",$O$4:$O$92)</f>
        <v>1119255</v>
      </c>
      <c r="G16" s="272">
        <f t="shared" si="4"/>
        <v>2.4654062698244873E-2</v>
      </c>
      <c r="I16" s="334" t="s">
        <v>1005</v>
      </c>
      <c r="J16" s="337" t="s">
        <v>1794</v>
      </c>
      <c r="K16" s="335">
        <v>21990</v>
      </c>
      <c r="L16" s="335">
        <v>0</v>
      </c>
      <c r="M16" s="335">
        <v>62000</v>
      </c>
      <c r="N16" s="335">
        <f>M16-54709</f>
        <v>7291</v>
      </c>
      <c r="O16" s="335">
        <f t="shared" si="0"/>
        <v>32719</v>
      </c>
      <c r="P16" s="335">
        <f t="shared" si="1"/>
        <v>0</v>
      </c>
      <c r="Q16" s="405">
        <f t="shared" si="2"/>
        <v>1.4879035925420645</v>
      </c>
      <c r="R16" s="348">
        <v>41836</v>
      </c>
      <c r="S16" s="348">
        <v>41860</v>
      </c>
      <c r="T16" s="353">
        <f t="shared" si="3"/>
        <v>9543.0416666666679</v>
      </c>
      <c r="V16" s="247"/>
    </row>
    <row r="17" spans="2:23" x14ac:dyDescent="0.25">
      <c r="B17" s="226" t="s">
        <v>48</v>
      </c>
      <c r="C17" s="260">
        <f>C18+C19</f>
        <v>6270417</v>
      </c>
      <c r="D17" s="304">
        <f>C17/$C$34</f>
        <v>0.13811977955170227</v>
      </c>
      <c r="E17" s="341" t="s">
        <v>1713</v>
      </c>
      <c r="F17" s="342">
        <f>'A-P_T44'!C9+C22-F27+EconomiaT44!C24-EconomiaT44!C5</f>
        <v>616299</v>
      </c>
      <c r="G17" s="272">
        <f t="shared" si="4"/>
        <v>1.3575346267709875E-2</v>
      </c>
      <c r="I17" s="334" t="s">
        <v>1005</v>
      </c>
      <c r="J17" s="337" t="s">
        <v>1620</v>
      </c>
      <c r="K17" s="335">
        <v>20732</v>
      </c>
      <c r="L17" s="335">
        <v>0</v>
      </c>
      <c r="M17" s="335">
        <v>55000</v>
      </c>
      <c r="N17" s="335">
        <f>M17-50287</f>
        <v>4713</v>
      </c>
      <c r="O17" s="335">
        <f t="shared" si="0"/>
        <v>29555</v>
      </c>
      <c r="P17" s="335">
        <f t="shared" si="1"/>
        <v>0</v>
      </c>
      <c r="Q17" s="405">
        <f t="shared" si="2"/>
        <v>1.4255739918965851</v>
      </c>
      <c r="R17" s="348">
        <v>41837</v>
      </c>
      <c r="S17" s="348">
        <v>41909</v>
      </c>
      <c r="T17" s="353">
        <f t="shared" si="3"/>
        <v>2873.4027777777774</v>
      </c>
      <c r="V17" s="247"/>
    </row>
    <row r="18" spans="2:23" x14ac:dyDescent="0.25">
      <c r="B18" s="231" t="s">
        <v>48</v>
      </c>
      <c r="C18" s="232">
        <f>SUM(M4:M89)</f>
        <v>6948183</v>
      </c>
      <c r="D18" s="424">
        <f>C18/$C$34</f>
        <v>0.15304907221399874</v>
      </c>
      <c r="E18" s="228"/>
      <c r="F18" s="227"/>
      <c r="G18" s="270"/>
      <c r="I18" s="334" t="s">
        <v>1005</v>
      </c>
      <c r="J18" s="337" t="s">
        <v>1823</v>
      </c>
      <c r="K18" s="335">
        <v>25790</v>
      </c>
      <c r="L18" s="335">
        <v>0</v>
      </c>
      <c r="M18" s="335">
        <v>67000</v>
      </c>
      <c r="N18" s="335">
        <f>M18-58679</f>
        <v>8321</v>
      </c>
      <c r="O18" s="335">
        <f t="shared" si="0"/>
        <v>32889</v>
      </c>
      <c r="P18" s="335">
        <f t="shared" si="1"/>
        <v>0</v>
      </c>
      <c r="Q18" s="405">
        <f t="shared" si="2"/>
        <v>1.2752617293524622</v>
      </c>
      <c r="R18" s="348">
        <v>41842</v>
      </c>
      <c r="S18" s="348">
        <v>41860</v>
      </c>
      <c r="T18" s="353">
        <f t="shared" si="3"/>
        <v>12790.166666666666</v>
      </c>
      <c r="V18" s="247"/>
    </row>
    <row r="19" spans="2:23" x14ac:dyDescent="0.25">
      <c r="B19" s="245" t="s">
        <v>5</v>
      </c>
      <c r="C19" s="248">
        <f>SUM(N4:N89)*-1</f>
        <v>-677766</v>
      </c>
      <c r="D19" s="424">
        <f>C19/$C$34</f>
        <v>-1.4929292662296468E-2</v>
      </c>
      <c r="E19" s="226" t="s">
        <v>1034</v>
      </c>
      <c r="F19" s="260">
        <f>F20+F21</f>
        <v>5120296</v>
      </c>
      <c r="G19" s="271">
        <f>F19/$F$34</f>
        <v>0.11278582505110313</v>
      </c>
      <c r="I19" s="334" t="s">
        <v>1005</v>
      </c>
      <c r="J19" s="337" t="s">
        <v>1815</v>
      </c>
      <c r="K19" s="335">
        <v>26972</v>
      </c>
      <c r="L19" s="335">
        <v>0</v>
      </c>
      <c r="M19" s="335">
        <v>65000</v>
      </c>
      <c r="N19" s="335">
        <f>M19-57220</f>
        <v>7780</v>
      </c>
      <c r="O19" s="335">
        <f t="shared" si="0"/>
        <v>30248</v>
      </c>
      <c r="P19" s="335">
        <f t="shared" si="1"/>
        <v>0</v>
      </c>
      <c r="Q19" s="405">
        <f t="shared" si="2"/>
        <v>1.1214592911167136</v>
      </c>
      <c r="R19" s="348">
        <v>41838</v>
      </c>
      <c r="S19" s="348">
        <v>41860</v>
      </c>
      <c r="T19" s="353">
        <f t="shared" si="3"/>
        <v>9624.363636363636</v>
      </c>
      <c r="V19" s="247"/>
      <c r="W19" s="247"/>
    </row>
    <row r="20" spans="2:23" x14ac:dyDescent="0.25">
      <c r="B20" s="235"/>
      <c r="C20" s="236"/>
      <c r="D20" s="424"/>
      <c r="E20" s="307" t="s">
        <v>50</v>
      </c>
      <c r="F20" s="427">
        <f>EconomiaT44!C19</f>
        <v>5199726</v>
      </c>
      <c r="G20" s="272">
        <f>F20/$F$34</f>
        <v>0.1145354461831254</v>
      </c>
      <c r="I20" s="334" t="s">
        <v>1005</v>
      </c>
      <c r="J20" s="337" t="s">
        <v>1820</v>
      </c>
      <c r="K20" s="335">
        <v>27430</v>
      </c>
      <c r="L20" s="335">
        <v>0</v>
      </c>
      <c r="M20" s="335">
        <v>55000</v>
      </c>
      <c r="N20" s="335">
        <f>M20-48169</f>
        <v>6831</v>
      </c>
      <c r="O20" s="335">
        <f t="shared" si="0"/>
        <v>20739</v>
      </c>
      <c r="P20" s="335">
        <f t="shared" si="1"/>
        <v>0</v>
      </c>
      <c r="Q20" s="405">
        <f t="shared" si="2"/>
        <v>0.75606999635435657</v>
      </c>
      <c r="R20" s="348">
        <v>41842</v>
      </c>
      <c r="S20" s="348">
        <v>41860</v>
      </c>
      <c r="T20" s="353">
        <f t="shared" si="3"/>
        <v>8065.1666666666661</v>
      </c>
      <c r="V20" s="247"/>
    </row>
    <row r="21" spans="2:23" x14ac:dyDescent="0.25">
      <c r="B21" s="235"/>
      <c r="C21" s="236"/>
      <c r="D21" s="304"/>
      <c r="E21" s="245" t="s">
        <v>1140</v>
      </c>
      <c r="F21" s="238">
        <f>SUM(L4:L89)*-1</f>
        <v>-79430</v>
      </c>
      <c r="G21" s="272">
        <f>F21/$F$34</f>
        <v>-1.749621132022274E-3</v>
      </c>
      <c r="I21" s="334" t="s">
        <v>1005</v>
      </c>
      <c r="J21" s="337" t="s">
        <v>1795</v>
      </c>
      <c r="K21" s="335">
        <v>100708</v>
      </c>
      <c r="L21" s="335">
        <v>0</v>
      </c>
      <c r="M21" s="335">
        <v>199995</v>
      </c>
      <c r="N21" s="335">
        <f>M21-176476</f>
        <v>23519</v>
      </c>
      <c r="O21" s="335">
        <f t="shared" si="0"/>
        <v>75768</v>
      </c>
      <c r="P21" s="335">
        <f t="shared" si="1"/>
        <v>0</v>
      </c>
      <c r="Q21" s="405">
        <f t="shared" si="2"/>
        <v>0.75235333836438023</v>
      </c>
      <c r="R21" s="348">
        <v>41836</v>
      </c>
      <c r="S21" s="348">
        <v>41860</v>
      </c>
      <c r="T21" s="353">
        <f t="shared" si="3"/>
        <v>22099</v>
      </c>
      <c r="V21" s="247"/>
    </row>
    <row r="22" spans="2:23" x14ac:dyDescent="0.25">
      <c r="B22" s="226" t="s">
        <v>1328</v>
      </c>
      <c r="C22" s="242">
        <f>SUM(C23:C27)</f>
        <v>7103232</v>
      </c>
      <c r="D22" s="304">
        <f t="shared" ref="D22:D27" si="5">C22/$C$34</f>
        <v>0.15646436878832734</v>
      </c>
      <c r="E22" s="228"/>
      <c r="F22" s="227"/>
      <c r="G22" s="270"/>
      <c r="I22" s="334" t="s">
        <v>1005</v>
      </c>
      <c r="J22" s="337" t="s">
        <v>1825</v>
      </c>
      <c r="K22" s="335">
        <v>25540</v>
      </c>
      <c r="L22" s="335">
        <v>0</v>
      </c>
      <c r="M22" s="335">
        <v>51000</v>
      </c>
      <c r="N22" s="335">
        <f>M22-44467</f>
        <v>6533</v>
      </c>
      <c r="O22" s="335">
        <f t="shared" si="0"/>
        <v>18927</v>
      </c>
      <c r="P22" s="335">
        <f t="shared" si="1"/>
        <v>0</v>
      </c>
      <c r="Q22" s="405">
        <f t="shared" si="2"/>
        <v>0.74107282693813625</v>
      </c>
      <c r="R22" s="348">
        <v>41845</v>
      </c>
      <c r="S22" s="348">
        <v>41860</v>
      </c>
      <c r="T22" s="353">
        <f t="shared" si="3"/>
        <v>8832.6</v>
      </c>
      <c r="V22" s="247"/>
      <c r="W22" s="247"/>
    </row>
    <row r="23" spans="2:23" x14ac:dyDescent="0.25">
      <c r="B23" s="233" t="s">
        <v>42</v>
      </c>
      <c r="C23" s="234">
        <f>EconomiaT44!C11</f>
        <v>92862</v>
      </c>
      <c r="D23" s="424">
        <f t="shared" si="5"/>
        <v>2.0454905899767394E-3</v>
      </c>
      <c r="E23" s="429" t="s">
        <v>1600</v>
      </c>
      <c r="F23" s="242">
        <f>F24+F25</f>
        <v>0</v>
      </c>
      <c r="G23" s="271">
        <f>F23/$F$34</f>
        <v>0</v>
      </c>
      <c r="I23" s="334" t="s">
        <v>1005</v>
      </c>
      <c r="J23" s="337" t="s">
        <v>1784</v>
      </c>
      <c r="K23" s="335">
        <v>39852</v>
      </c>
      <c r="L23" s="335">
        <v>0</v>
      </c>
      <c r="M23" s="335">
        <v>74000</v>
      </c>
      <c r="N23" s="335">
        <f>M23-67244</f>
        <v>6756</v>
      </c>
      <c r="O23" s="335">
        <f t="shared" si="0"/>
        <v>27392</v>
      </c>
      <c r="P23" s="335">
        <f t="shared" si="1"/>
        <v>0</v>
      </c>
      <c r="Q23" s="405">
        <f t="shared" si="2"/>
        <v>0.68734316972799359</v>
      </c>
      <c r="R23" s="348">
        <v>41834</v>
      </c>
      <c r="S23" s="348">
        <v>41895</v>
      </c>
      <c r="T23" s="353">
        <f t="shared" si="3"/>
        <v>3143.3442622950824</v>
      </c>
      <c r="V23" s="247"/>
    </row>
    <row r="24" spans="2:23" x14ac:dyDescent="0.25">
      <c r="B24" s="233" t="s">
        <v>51</v>
      </c>
      <c r="C24" s="234">
        <f>EconomiaT44!C12</f>
        <v>900000</v>
      </c>
      <c r="D24" s="424">
        <f t="shared" si="5"/>
        <v>1.9824487206597588E-2</v>
      </c>
      <c r="E24" s="307" t="s">
        <v>30</v>
      </c>
      <c r="F24" s="428">
        <f>EconomiaT44!C16</f>
        <v>0</v>
      </c>
      <c r="G24" s="272">
        <f>F24/$F$34</f>
        <v>0</v>
      </c>
      <c r="I24" s="334" t="s">
        <v>1005</v>
      </c>
      <c r="J24" s="337" t="s">
        <v>1821</v>
      </c>
      <c r="K24" s="335">
        <v>27612</v>
      </c>
      <c r="L24" s="335">
        <v>0</v>
      </c>
      <c r="M24" s="335">
        <v>51000</v>
      </c>
      <c r="N24" s="335">
        <f>M24-44666</f>
        <v>6334</v>
      </c>
      <c r="O24" s="335">
        <f t="shared" si="0"/>
        <v>17054</v>
      </c>
      <c r="P24" s="335">
        <f t="shared" si="1"/>
        <v>0</v>
      </c>
      <c r="Q24" s="405">
        <f t="shared" si="2"/>
        <v>0.6176300159351007</v>
      </c>
      <c r="R24" s="348">
        <v>41842</v>
      </c>
      <c r="S24" s="348">
        <v>41860</v>
      </c>
      <c r="T24" s="353">
        <f t="shared" si="3"/>
        <v>6632.1111111111104</v>
      </c>
      <c r="V24" s="508"/>
      <c r="W24" s="509"/>
    </row>
    <row r="25" spans="2:23" x14ac:dyDescent="0.25">
      <c r="B25" s="233" t="s">
        <v>0</v>
      </c>
      <c r="C25" s="234">
        <f>EconomiaT44!C6</f>
        <v>3880318</v>
      </c>
      <c r="D25" s="424">
        <f t="shared" si="5"/>
        <v>8.5472571720589266E-2</v>
      </c>
      <c r="E25" s="307" t="s">
        <v>11</v>
      </c>
      <c r="F25" s="428">
        <f>EconomiaT44!C20</f>
        <v>0</v>
      </c>
      <c r="G25" s="272">
        <f>F25/$F$34</f>
        <v>0</v>
      </c>
      <c r="I25" s="334" t="s">
        <v>1005</v>
      </c>
      <c r="J25" s="337" t="s">
        <v>1788</v>
      </c>
      <c r="K25" s="335">
        <v>35328</v>
      </c>
      <c r="L25" s="335">
        <v>0</v>
      </c>
      <c r="M25" s="335">
        <v>60000</v>
      </c>
      <c r="N25" s="335">
        <f>M25-53004</f>
        <v>6996</v>
      </c>
      <c r="O25" s="335">
        <f t="shared" si="0"/>
        <v>17676</v>
      </c>
      <c r="P25" s="335">
        <f t="shared" si="1"/>
        <v>0</v>
      </c>
      <c r="Q25" s="405">
        <f t="shared" si="2"/>
        <v>0.50033967391304346</v>
      </c>
      <c r="R25" s="348">
        <v>41835</v>
      </c>
      <c r="S25" s="348">
        <v>41860</v>
      </c>
      <c r="T25" s="353">
        <f t="shared" si="3"/>
        <v>4949.28</v>
      </c>
      <c r="V25" s="508"/>
      <c r="W25" s="509"/>
    </row>
    <row r="26" spans="2:23" x14ac:dyDescent="0.25">
      <c r="B26" s="233" t="s">
        <v>2</v>
      </c>
      <c r="C26" s="234">
        <f>EconomiaT44!C7</f>
        <v>1992010</v>
      </c>
      <c r="D26" s="424">
        <f t="shared" si="5"/>
        <v>4.3878418622682741E-2</v>
      </c>
      <c r="E26" s="226"/>
      <c r="F26" s="242"/>
      <c r="G26" s="271"/>
      <c r="I26" s="334" t="s">
        <v>1004</v>
      </c>
      <c r="J26" s="337" t="s">
        <v>1778</v>
      </c>
      <c r="K26" s="335">
        <v>2524</v>
      </c>
      <c r="L26" s="335">
        <v>0</v>
      </c>
      <c r="M26" s="335">
        <v>4000</v>
      </c>
      <c r="N26" s="335">
        <f>M26-3720</f>
        <v>280</v>
      </c>
      <c r="O26" s="335">
        <f t="shared" si="0"/>
        <v>1196</v>
      </c>
      <c r="P26" s="335">
        <f t="shared" si="1"/>
        <v>0</v>
      </c>
      <c r="Q26" s="405">
        <f t="shared" si="2"/>
        <v>0.47385103011093505</v>
      </c>
      <c r="R26" s="348">
        <v>41815</v>
      </c>
      <c r="S26" s="348">
        <v>41932</v>
      </c>
      <c r="T26" s="353">
        <f t="shared" si="3"/>
        <v>71.555555555555557</v>
      </c>
      <c r="V26" s="508"/>
      <c r="W26" s="509"/>
    </row>
    <row r="27" spans="2:23" x14ac:dyDescent="0.25">
      <c r="B27" s="233" t="s">
        <v>5</v>
      </c>
      <c r="C27" s="234">
        <f>EconomiaT44!C10</f>
        <v>238042</v>
      </c>
      <c r="D27" s="424">
        <f t="shared" si="5"/>
        <v>5.2434006484810038E-3</v>
      </c>
      <c r="E27" s="226" t="s">
        <v>1601</v>
      </c>
      <c r="F27" s="242">
        <f>SUM(F28:F33)</f>
        <v>7516502</v>
      </c>
      <c r="G27" s="271">
        <f t="shared" ref="G27:G33" si="6">F27/$F$34</f>
        <v>0.16556755304151688</v>
      </c>
      <c r="I27" s="334" t="s">
        <v>1005</v>
      </c>
      <c r="J27" s="337" t="s">
        <v>1797</v>
      </c>
      <c r="K27" s="335">
        <v>96284</v>
      </c>
      <c r="L27" s="335">
        <v>0</v>
      </c>
      <c r="M27" s="335">
        <v>140000</v>
      </c>
      <c r="N27" s="335">
        <f>M27-126490</f>
        <v>13510</v>
      </c>
      <c r="O27" s="335">
        <f t="shared" si="0"/>
        <v>30206</v>
      </c>
      <c r="P27" s="335">
        <f t="shared" si="1"/>
        <v>0</v>
      </c>
      <c r="Q27" s="405">
        <f t="shared" si="2"/>
        <v>0.31371775165136473</v>
      </c>
      <c r="R27" s="348">
        <v>41836</v>
      </c>
      <c r="S27" s="348">
        <v>41888</v>
      </c>
      <c r="T27" s="353">
        <f t="shared" si="3"/>
        <v>4066.1923076923076</v>
      </c>
      <c r="V27" s="508"/>
      <c r="W27" s="509"/>
    </row>
    <row r="28" spans="2:23" x14ac:dyDescent="0.25">
      <c r="B28" s="226"/>
      <c r="C28" s="242"/>
      <c r="D28" s="304"/>
      <c r="E28" s="307" t="s">
        <v>882</v>
      </c>
      <c r="F28" s="428">
        <f>EconomiaT44!C14</f>
        <v>5515010</v>
      </c>
      <c r="G28" s="272">
        <f t="shared" si="6"/>
        <v>0.12148027243250864</v>
      </c>
      <c r="I28" s="334" t="s">
        <v>1005</v>
      </c>
      <c r="J28" s="337" t="s">
        <v>1816</v>
      </c>
      <c r="K28" s="335">
        <v>101164</v>
      </c>
      <c r="L28" s="335">
        <v>0</v>
      </c>
      <c r="M28" s="335">
        <v>140000</v>
      </c>
      <c r="N28" s="335">
        <f>M28-126658</f>
        <v>13342</v>
      </c>
      <c r="O28" s="335">
        <f t="shared" si="0"/>
        <v>25494</v>
      </c>
      <c r="P28" s="335">
        <f t="shared" si="1"/>
        <v>0</v>
      </c>
      <c r="Q28" s="405">
        <f t="shared" si="2"/>
        <v>0.25200664267921397</v>
      </c>
      <c r="R28" s="348">
        <v>41838</v>
      </c>
      <c r="S28" s="348">
        <v>41861</v>
      </c>
      <c r="T28" s="353">
        <f t="shared" si="3"/>
        <v>7759.04347826087</v>
      </c>
      <c r="V28" s="508"/>
      <c r="W28" s="509"/>
    </row>
    <row r="29" spans="2:23" x14ac:dyDescent="0.25">
      <c r="B29" s="226" t="s">
        <v>1200</v>
      </c>
      <c r="C29" s="242">
        <f>EconomiaT44!S24</f>
        <v>1941357</v>
      </c>
      <c r="D29" s="304">
        <f>C29/$C$34</f>
        <v>4.2762674455487419E-2</v>
      </c>
      <c r="E29" s="307" t="s">
        <v>29</v>
      </c>
      <c r="F29" s="428">
        <f>EconomiaT44!C15</f>
        <v>574492</v>
      </c>
      <c r="G29" s="272">
        <f t="shared" si="6"/>
        <v>1.2654454782547403E-2</v>
      </c>
      <c r="I29" s="334" t="s">
        <v>1006</v>
      </c>
      <c r="J29" s="337" t="s">
        <v>1792</v>
      </c>
      <c r="K29" s="335">
        <v>1034870</v>
      </c>
      <c r="L29" s="335">
        <v>0</v>
      </c>
      <c r="M29" s="335">
        <v>1440158</v>
      </c>
      <c r="N29" s="335">
        <f>M29-1293044</f>
        <v>147114</v>
      </c>
      <c r="O29" s="335">
        <f t="shared" si="0"/>
        <v>258174</v>
      </c>
      <c r="P29" s="335">
        <f t="shared" si="1"/>
        <v>0</v>
      </c>
      <c r="Q29" s="405">
        <f t="shared" si="2"/>
        <v>0.24947481326156909</v>
      </c>
      <c r="R29" s="348">
        <v>41836</v>
      </c>
      <c r="S29" s="348">
        <v>41909</v>
      </c>
      <c r="T29" s="353">
        <f t="shared" si="3"/>
        <v>24756.410958904107</v>
      </c>
      <c r="V29" s="508"/>
      <c r="W29" s="509"/>
    </row>
    <row r="30" spans="2:23" x14ac:dyDescent="0.25">
      <c r="B30" s="226"/>
      <c r="C30" s="242"/>
      <c r="D30" s="304"/>
      <c r="E30" s="307" t="s">
        <v>6</v>
      </c>
      <c r="F30" s="428">
        <f>EconomiaT44!C17</f>
        <v>960000</v>
      </c>
      <c r="G30" s="272">
        <f t="shared" si="6"/>
        <v>2.1146119687037428E-2</v>
      </c>
      <c r="I30" s="334" t="s">
        <v>1005</v>
      </c>
      <c r="J30" s="337" t="s">
        <v>1817</v>
      </c>
      <c r="K30" s="335">
        <v>35924</v>
      </c>
      <c r="L30" s="335">
        <v>0</v>
      </c>
      <c r="M30" s="335">
        <v>51000</v>
      </c>
      <c r="N30" s="335">
        <f>M30-44783</f>
        <v>6217</v>
      </c>
      <c r="O30" s="335">
        <f t="shared" si="0"/>
        <v>8859</v>
      </c>
      <c r="P30" s="335">
        <f t="shared" si="1"/>
        <v>0</v>
      </c>
      <c r="Q30" s="405">
        <f t="shared" si="2"/>
        <v>0.24660394165460417</v>
      </c>
      <c r="R30" s="348">
        <v>41840</v>
      </c>
      <c r="S30" s="348">
        <v>41860</v>
      </c>
      <c r="T30" s="353">
        <f t="shared" si="3"/>
        <v>3100.65</v>
      </c>
      <c r="V30" s="508"/>
      <c r="W30" s="509"/>
    </row>
    <row r="31" spans="2:23" x14ac:dyDescent="0.25">
      <c r="B31" s="226"/>
      <c r="C31" s="242"/>
      <c r="D31" s="304"/>
      <c r="E31" s="307" t="s">
        <v>8</v>
      </c>
      <c r="F31" s="428">
        <f>EconomiaT44!C18</f>
        <v>320000</v>
      </c>
      <c r="G31" s="272">
        <f t="shared" si="6"/>
        <v>7.0487065623458097E-3</v>
      </c>
      <c r="I31" s="334" t="s">
        <v>1005</v>
      </c>
      <c r="J31" s="337" t="s">
        <v>1813</v>
      </c>
      <c r="K31" s="335">
        <v>35924</v>
      </c>
      <c r="L31" s="335">
        <v>0</v>
      </c>
      <c r="M31" s="335">
        <v>49995</v>
      </c>
      <c r="N31" s="335">
        <f>M31-44166</f>
        <v>5829</v>
      </c>
      <c r="O31" s="335">
        <f t="shared" si="0"/>
        <v>8242</v>
      </c>
      <c r="P31" s="335">
        <f t="shared" si="1"/>
        <v>0</v>
      </c>
      <c r="Q31" s="405">
        <f t="shared" si="2"/>
        <v>0.22942879412092196</v>
      </c>
      <c r="R31" s="348">
        <v>41836</v>
      </c>
      <c r="S31" s="348">
        <v>41860</v>
      </c>
      <c r="T31" s="353">
        <f t="shared" si="3"/>
        <v>2403.916666666667</v>
      </c>
      <c r="V31" s="508"/>
      <c r="W31" s="509"/>
    </row>
    <row r="32" spans="2:23" x14ac:dyDescent="0.25">
      <c r="B32" s="226"/>
      <c r="C32" s="242"/>
      <c r="D32" s="304"/>
      <c r="E32" s="307" t="s">
        <v>818</v>
      </c>
      <c r="F32" s="428">
        <f>EconomiaT44!C21</f>
        <v>147000</v>
      </c>
      <c r="G32" s="272">
        <f t="shared" si="6"/>
        <v>3.2379995770776063E-3</v>
      </c>
      <c r="I32" s="334" t="s">
        <v>1005</v>
      </c>
      <c r="J32" s="337" t="s">
        <v>1785</v>
      </c>
      <c r="K32" s="335">
        <v>30780</v>
      </c>
      <c r="L32" s="335">
        <v>0</v>
      </c>
      <c r="M32" s="335">
        <v>41000</v>
      </c>
      <c r="N32" s="335">
        <f>M32-37527</f>
        <v>3473</v>
      </c>
      <c r="O32" s="335">
        <f t="shared" si="0"/>
        <v>6747</v>
      </c>
      <c r="P32" s="335">
        <f t="shared" si="1"/>
        <v>0</v>
      </c>
      <c r="Q32" s="405">
        <f t="shared" si="2"/>
        <v>0.21920077972709551</v>
      </c>
      <c r="R32" s="348">
        <v>41835</v>
      </c>
      <c r="S32" s="348">
        <v>41909</v>
      </c>
      <c r="T32" s="353">
        <f t="shared" si="3"/>
        <v>638.2297297297298</v>
      </c>
      <c r="V32" s="508"/>
      <c r="W32" s="509"/>
    </row>
    <row r="33" spans="2:23" x14ac:dyDescent="0.25">
      <c r="B33" s="230"/>
      <c r="C33" s="229"/>
      <c r="D33" s="304"/>
      <c r="E33" s="431" t="s">
        <v>10</v>
      </c>
      <c r="F33" s="432">
        <f>EconomiaT44!C22</f>
        <v>0</v>
      </c>
      <c r="G33" s="430">
        <f t="shared" si="6"/>
        <v>0</v>
      </c>
      <c r="I33" s="334" t="s">
        <v>1005</v>
      </c>
      <c r="J33" s="337" t="s">
        <v>1819</v>
      </c>
      <c r="K33" s="335">
        <v>24068</v>
      </c>
      <c r="L33" s="335">
        <v>0</v>
      </c>
      <c r="M33" s="335">
        <v>30000</v>
      </c>
      <c r="N33" s="335">
        <f>M33-27369</f>
        <v>2631</v>
      </c>
      <c r="O33" s="335">
        <f t="shared" si="0"/>
        <v>3301</v>
      </c>
      <c r="P33" s="335">
        <f t="shared" si="1"/>
        <v>0</v>
      </c>
      <c r="Q33" s="405">
        <f t="shared" si="2"/>
        <v>0.13715306631211568</v>
      </c>
      <c r="R33" s="348">
        <v>41841</v>
      </c>
      <c r="S33" s="348">
        <v>41909</v>
      </c>
      <c r="T33" s="353">
        <f t="shared" si="3"/>
        <v>339.80882352941177</v>
      </c>
      <c r="V33" s="508"/>
      <c r="W33" s="509"/>
    </row>
    <row r="34" spans="2:23" ht="18.75" x14ac:dyDescent="0.3">
      <c r="B34" s="239" t="s">
        <v>291</v>
      </c>
      <c r="C34" s="240">
        <f>C22+C17+C11+C6+C29</f>
        <v>45398400</v>
      </c>
      <c r="D34" s="43">
        <f>C34/$C$34</f>
        <v>1</v>
      </c>
      <c r="E34" s="366" t="s">
        <v>291</v>
      </c>
      <c r="F34" s="367">
        <f>F27+F19+F11+F6+F23</f>
        <v>45398400</v>
      </c>
      <c r="G34" s="43">
        <f>F34/$F$34</f>
        <v>1</v>
      </c>
      <c r="I34" s="334" t="s">
        <v>1005</v>
      </c>
      <c r="J34" s="337" t="s">
        <v>1818</v>
      </c>
      <c r="K34" s="335">
        <v>30708</v>
      </c>
      <c r="L34" s="335">
        <v>0</v>
      </c>
      <c r="M34" s="335">
        <v>35000</v>
      </c>
      <c r="N34" s="335">
        <f>M34-31931</f>
        <v>3069</v>
      </c>
      <c r="O34" s="335">
        <f t="shared" si="0"/>
        <v>1223</v>
      </c>
      <c r="P34" s="335">
        <f t="shared" si="1"/>
        <v>0</v>
      </c>
      <c r="Q34" s="405">
        <f t="shared" si="2"/>
        <v>3.9826755242933436E-2</v>
      </c>
      <c r="R34" s="348">
        <v>41841</v>
      </c>
      <c r="S34" s="348">
        <v>41909</v>
      </c>
      <c r="T34" s="353">
        <f t="shared" si="3"/>
        <v>125.89705882352942</v>
      </c>
      <c r="V34" s="508"/>
      <c r="W34" s="509"/>
    </row>
    <row r="35" spans="2:23" x14ac:dyDescent="0.25">
      <c r="F35" s="417">
        <f>F34-C34</f>
        <v>0</v>
      </c>
      <c r="I35" s="334" t="s">
        <v>1005</v>
      </c>
      <c r="J35" s="337" t="s">
        <v>1790</v>
      </c>
      <c r="K35" s="335">
        <v>35924</v>
      </c>
      <c r="L35" s="335">
        <v>0</v>
      </c>
      <c r="M35" s="335">
        <v>39995</v>
      </c>
      <c r="N35" s="335">
        <f>M35-36859</f>
        <v>3136</v>
      </c>
      <c r="O35" s="335">
        <f t="shared" si="0"/>
        <v>935</v>
      </c>
      <c r="P35" s="335">
        <f t="shared" si="1"/>
        <v>0</v>
      </c>
      <c r="Q35" s="405">
        <f t="shared" si="2"/>
        <v>2.6027168466763166E-2</v>
      </c>
      <c r="R35" s="348">
        <v>41835</v>
      </c>
      <c r="S35" s="348">
        <v>41923</v>
      </c>
      <c r="T35" s="353">
        <f t="shared" si="3"/>
        <v>74.375</v>
      </c>
      <c r="V35" s="508"/>
      <c r="W35" s="509"/>
    </row>
    <row r="36" spans="2:23" x14ac:dyDescent="0.25">
      <c r="I36" s="334" t="s">
        <v>1006</v>
      </c>
      <c r="J36" s="337" t="s">
        <v>1791</v>
      </c>
      <c r="K36" s="335">
        <v>1019979</v>
      </c>
      <c r="L36" s="335">
        <v>0</v>
      </c>
      <c r="M36" s="335">
        <v>1125000</v>
      </c>
      <c r="N36" s="335">
        <f>M36-1000800</f>
        <v>124200</v>
      </c>
      <c r="O36" s="335">
        <f t="shared" ref="O36:O57" si="7">IF(M36=0,0,M36-K36)-N36</f>
        <v>-19179</v>
      </c>
      <c r="P36" s="335">
        <f t="shared" ref="P36:P54" si="8">IF(M36=0,K36,0)</f>
        <v>0</v>
      </c>
      <c r="Q36" s="405">
        <f t="shared" si="2"/>
        <v>-1.880332830381802E-2</v>
      </c>
      <c r="R36" s="348">
        <v>41836</v>
      </c>
      <c r="S36" s="348">
        <v>41867</v>
      </c>
      <c r="T36" s="353">
        <f t="shared" si="3"/>
        <v>-4330.7419354838703</v>
      </c>
      <c r="V36" s="508"/>
      <c r="W36" s="509"/>
    </row>
    <row r="37" spans="2:23" x14ac:dyDescent="0.25">
      <c r="I37" s="334" t="s">
        <v>1006</v>
      </c>
      <c r="J37" s="337" t="s">
        <v>1616</v>
      </c>
      <c r="K37" s="335">
        <v>1275000</v>
      </c>
      <c r="L37" s="335">
        <v>0</v>
      </c>
      <c r="M37" s="335">
        <v>750000</v>
      </c>
      <c r="N37" s="335">
        <f>M37-697500</f>
        <v>52500</v>
      </c>
      <c r="O37" s="335">
        <f t="shared" si="7"/>
        <v>-577500</v>
      </c>
      <c r="P37" s="335">
        <f t="shared" si="8"/>
        <v>0</v>
      </c>
      <c r="Q37" s="405">
        <f t="shared" si="2"/>
        <v>-0.45294117647058824</v>
      </c>
      <c r="R37" s="348">
        <v>41488</v>
      </c>
      <c r="S37" s="348">
        <v>41916</v>
      </c>
      <c r="T37" s="353">
        <f t="shared" si="3"/>
        <v>-9445.0934579439254</v>
      </c>
      <c r="V37" s="508"/>
      <c r="W37" s="509"/>
    </row>
    <row r="38" spans="2:23" x14ac:dyDescent="0.25">
      <c r="H38" s="225"/>
      <c r="I38" s="334" t="s">
        <v>1006</v>
      </c>
      <c r="J38" s="337" t="s">
        <v>1612</v>
      </c>
      <c r="K38" s="335">
        <v>2017000</v>
      </c>
      <c r="L38" s="335">
        <v>0</v>
      </c>
      <c r="M38" s="335">
        <v>976000</v>
      </c>
      <c r="N38" s="335">
        <f>M38-907680</f>
        <v>68320</v>
      </c>
      <c r="O38" s="335">
        <f t="shared" si="7"/>
        <v>-1109320</v>
      </c>
      <c r="P38" s="335">
        <f t="shared" si="8"/>
        <v>0</v>
      </c>
      <c r="Q38" s="405">
        <f t="shared" si="2"/>
        <v>-0.54998512642538422</v>
      </c>
      <c r="R38" s="348">
        <v>41465</v>
      </c>
      <c r="S38" s="348">
        <v>41899</v>
      </c>
      <c r="T38" s="353">
        <f t="shared" si="3"/>
        <v>-17892.258064516129</v>
      </c>
      <c r="V38" s="508"/>
      <c r="W38" s="509"/>
    </row>
    <row r="39" spans="2:23" x14ac:dyDescent="0.25">
      <c r="I39" s="187" t="s">
        <v>1006</v>
      </c>
      <c r="J39" s="336" t="s">
        <v>1822</v>
      </c>
      <c r="K39" s="333">
        <v>3182496</v>
      </c>
      <c r="L39" s="333">
        <v>0</v>
      </c>
      <c r="M39" s="333">
        <v>0</v>
      </c>
      <c r="N39" s="333">
        <v>0</v>
      </c>
      <c r="O39" s="343">
        <f t="shared" si="7"/>
        <v>0</v>
      </c>
      <c r="P39" s="333">
        <f t="shared" si="8"/>
        <v>3182496</v>
      </c>
      <c r="Q39" s="403"/>
      <c r="R39" s="347">
        <v>41769</v>
      </c>
      <c r="S39" s="347"/>
      <c r="T39" s="344"/>
      <c r="V39" s="508"/>
      <c r="W39" s="509"/>
    </row>
    <row r="40" spans="2:23" x14ac:dyDescent="0.25">
      <c r="C40" s="129"/>
      <c r="E40" s="30"/>
      <c r="I40" s="187" t="s">
        <v>1006</v>
      </c>
      <c r="J40" s="336" t="s">
        <v>1935</v>
      </c>
      <c r="K40" s="333">
        <v>2600000</v>
      </c>
      <c r="L40" s="333">
        <v>18132</v>
      </c>
      <c r="M40" s="333">
        <v>0</v>
      </c>
      <c r="N40" s="333">
        <v>0</v>
      </c>
      <c r="O40" s="343">
        <f t="shared" si="7"/>
        <v>0</v>
      </c>
      <c r="P40" s="333">
        <f t="shared" si="8"/>
        <v>2600000</v>
      </c>
      <c r="Q40" s="403"/>
      <c r="R40" s="347">
        <v>41919</v>
      </c>
      <c r="S40" s="347"/>
      <c r="T40" s="344"/>
      <c r="V40" s="508"/>
      <c r="W40" s="509"/>
    </row>
    <row r="41" spans="2:23" x14ac:dyDescent="0.25">
      <c r="E41" s="30"/>
      <c r="I41" s="187" t="s">
        <v>1006</v>
      </c>
      <c r="J41" s="336" t="s">
        <v>1731</v>
      </c>
      <c r="K41" s="333">
        <v>2530400</v>
      </c>
      <c r="L41" s="333">
        <v>0</v>
      </c>
      <c r="M41" s="333">
        <v>0</v>
      </c>
      <c r="N41" s="333">
        <v>0</v>
      </c>
      <c r="O41" s="343">
        <f t="shared" si="7"/>
        <v>0</v>
      </c>
      <c r="P41" s="333">
        <f t="shared" si="8"/>
        <v>2530400</v>
      </c>
      <c r="Q41" s="403"/>
      <c r="R41" s="347">
        <v>41778</v>
      </c>
      <c r="S41" s="347"/>
      <c r="T41" s="344"/>
      <c r="V41" s="508"/>
      <c r="W41" s="509"/>
    </row>
    <row r="42" spans="2:23" x14ac:dyDescent="0.25">
      <c r="I42" s="187" t="s">
        <v>1006</v>
      </c>
      <c r="J42" s="336" t="s">
        <v>1676</v>
      </c>
      <c r="K42" s="333">
        <v>2125000</v>
      </c>
      <c r="L42" s="333">
        <v>0</v>
      </c>
      <c r="M42" s="333">
        <v>0</v>
      </c>
      <c r="N42" s="333">
        <v>0</v>
      </c>
      <c r="O42" s="343">
        <f t="shared" si="7"/>
        <v>0</v>
      </c>
      <c r="P42" s="333">
        <f t="shared" si="8"/>
        <v>2125000</v>
      </c>
      <c r="Q42" s="403"/>
      <c r="R42" s="347">
        <v>41584</v>
      </c>
      <c r="S42" s="347"/>
      <c r="T42" s="344"/>
      <c r="V42" s="508"/>
      <c r="W42" s="509"/>
    </row>
    <row r="43" spans="2:23" ht="14.25" customHeight="1" x14ac:dyDescent="0.25">
      <c r="I43" s="187" t="s">
        <v>1006</v>
      </c>
      <c r="J43" s="336" t="s">
        <v>1926</v>
      </c>
      <c r="K43" s="333">
        <v>2012000</v>
      </c>
      <c r="L43" s="333">
        <v>20940</v>
      </c>
      <c r="M43" s="333">
        <v>0</v>
      </c>
      <c r="N43" s="333">
        <v>0</v>
      </c>
      <c r="O43" s="343">
        <f t="shared" si="7"/>
        <v>0</v>
      </c>
      <c r="P43" s="333">
        <f t="shared" si="8"/>
        <v>2012000</v>
      </c>
      <c r="Q43" s="403"/>
      <c r="R43" s="347">
        <v>41899</v>
      </c>
      <c r="S43" s="347"/>
      <c r="T43" s="344"/>
      <c r="V43" s="508"/>
      <c r="W43" s="509"/>
    </row>
    <row r="44" spans="2:23" s="2" customFormat="1" x14ac:dyDescent="0.25">
      <c r="B44" s="212"/>
      <c r="C44" s="212"/>
      <c r="D44" s="212"/>
      <c r="F44" s="212"/>
      <c r="G44" s="212"/>
      <c r="I44" s="187" t="s">
        <v>1006</v>
      </c>
      <c r="J44" s="336" t="s">
        <v>1829</v>
      </c>
      <c r="K44" s="333">
        <v>1836000</v>
      </c>
      <c r="L44" s="333">
        <v>24204</v>
      </c>
      <c r="M44" s="333">
        <v>0</v>
      </c>
      <c r="N44" s="333">
        <v>0</v>
      </c>
      <c r="O44" s="343">
        <f t="shared" si="7"/>
        <v>0</v>
      </c>
      <c r="P44" s="333">
        <f t="shared" si="8"/>
        <v>1836000</v>
      </c>
      <c r="Q44" s="403"/>
      <c r="R44" s="347">
        <v>41850</v>
      </c>
      <c r="S44" s="347"/>
      <c r="T44" s="344"/>
      <c r="U44"/>
      <c r="V44" s="508"/>
      <c r="W44" s="509"/>
    </row>
    <row r="45" spans="2:23" x14ac:dyDescent="0.25">
      <c r="I45" s="187" t="s">
        <v>1006</v>
      </c>
      <c r="J45" s="336" t="s">
        <v>1760</v>
      </c>
      <c r="K45" s="333">
        <v>1685030</v>
      </c>
      <c r="L45" s="333">
        <v>0</v>
      </c>
      <c r="M45" s="333">
        <v>0</v>
      </c>
      <c r="N45" s="333">
        <v>0</v>
      </c>
      <c r="O45" s="343">
        <f t="shared" si="7"/>
        <v>0</v>
      </c>
      <c r="P45" s="333">
        <f t="shared" si="8"/>
        <v>1685030</v>
      </c>
      <c r="Q45" s="403"/>
      <c r="R45" s="347">
        <v>41785</v>
      </c>
      <c r="S45" s="347"/>
      <c r="T45" s="344"/>
      <c r="V45" s="508"/>
      <c r="W45" s="509"/>
    </row>
    <row r="46" spans="2:23" x14ac:dyDescent="0.25">
      <c r="I46" s="187" t="s">
        <v>1004</v>
      </c>
      <c r="J46" s="336" t="s">
        <v>1727</v>
      </c>
      <c r="K46" s="333">
        <v>1560024</v>
      </c>
      <c r="L46" s="333">
        <v>0</v>
      </c>
      <c r="M46" s="333">
        <v>0</v>
      </c>
      <c r="N46" s="333">
        <v>0</v>
      </c>
      <c r="O46" s="343">
        <f t="shared" si="7"/>
        <v>0</v>
      </c>
      <c r="P46" s="333">
        <f t="shared" si="8"/>
        <v>1560024</v>
      </c>
      <c r="Q46" s="403"/>
      <c r="R46" s="347">
        <v>41742</v>
      </c>
      <c r="S46" s="347"/>
      <c r="T46" s="344"/>
      <c r="V46" s="508"/>
      <c r="W46" s="509"/>
    </row>
    <row r="47" spans="2:23" x14ac:dyDescent="0.25">
      <c r="E47" s="225"/>
      <c r="I47" s="187" t="s">
        <v>1006</v>
      </c>
      <c r="J47" s="336" t="s">
        <v>1690</v>
      </c>
      <c r="K47" s="333">
        <v>1532040</v>
      </c>
      <c r="L47" s="333">
        <v>0</v>
      </c>
      <c r="M47" s="333">
        <v>0</v>
      </c>
      <c r="N47" s="333">
        <v>0</v>
      </c>
      <c r="O47" s="343">
        <f t="shared" si="7"/>
        <v>0</v>
      </c>
      <c r="P47" s="333">
        <f t="shared" si="8"/>
        <v>1532040</v>
      </c>
      <c r="Q47" s="403"/>
      <c r="R47" s="347">
        <v>41282</v>
      </c>
      <c r="S47" s="347"/>
      <c r="T47" s="344"/>
      <c r="V47" s="508"/>
      <c r="W47" s="509"/>
    </row>
    <row r="48" spans="2:23" x14ac:dyDescent="0.25">
      <c r="I48" s="187" t="s">
        <v>1006</v>
      </c>
      <c r="J48" s="336" t="s">
        <v>1781</v>
      </c>
      <c r="K48" s="333">
        <v>1526940</v>
      </c>
      <c r="L48" s="333">
        <v>0</v>
      </c>
      <c r="M48" s="333">
        <v>0</v>
      </c>
      <c r="N48" s="333">
        <v>0</v>
      </c>
      <c r="O48" s="343">
        <f t="shared" si="7"/>
        <v>0</v>
      </c>
      <c r="P48" s="333">
        <f t="shared" si="8"/>
        <v>1526940</v>
      </c>
      <c r="Q48" s="403"/>
      <c r="R48" s="347">
        <v>41831</v>
      </c>
      <c r="S48" s="347"/>
      <c r="T48" s="344"/>
      <c r="V48" s="508"/>
      <c r="W48" s="509"/>
    </row>
    <row r="49" spans="9:23" x14ac:dyDescent="0.25">
      <c r="I49" s="187" t="s">
        <v>1006</v>
      </c>
      <c r="J49" s="336" t="s">
        <v>1777</v>
      </c>
      <c r="K49" s="333">
        <v>1269044</v>
      </c>
      <c r="L49" s="333">
        <v>0</v>
      </c>
      <c r="M49" s="333">
        <v>0</v>
      </c>
      <c r="N49" s="333">
        <v>0</v>
      </c>
      <c r="O49" s="343">
        <f t="shared" si="7"/>
        <v>0</v>
      </c>
      <c r="P49" s="333">
        <f t="shared" si="8"/>
        <v>1269044</v>
      </c>
      <c r="Q49" s="403"/>
      <c r="R49" s="347">
        <v>41776</v>
      </c>
      <c r="S49" s="347"/>
      <c r="T49" s="344"/>
      <c r="V49" s="508"/>
      <c r="W49" s="509"/>
    </row>
    <row r="50" spans="9:23" x14ac:dyDescent="0.25">
      <c r="I50" s="187" t="s">
        <v>1006</v>
      </c>
      <c r="J50" s="336" t="s">
        <v>1826</v>
      </c>
      <c r="K50" s="333">
        <v>1226676</v>
      </c>
      <c r="L50" s="333">
        <v>0</v>
      </c>
      <c r="M50" s="333">
        <v>0</v>
      </c>
      <c r="N50" s="333">
        <v>0</v>
      </c>
      <c r="O50" s="343">
        <f t="shared" si="7"/>
        <v>0</v>
      </c>
      <c r="P50" s="333">
        <f t="shared" si="8"/>
        <v>1226676</v>
      </c>
      <c r="Q50" s="403"/>
      <c r="R50" s="347">
        <v>41848</v>
      </c>
      <c r="S50" s="347"/>
      <c r="T50" s="344"/>
      <c r="V50" s="508"/>
      <c r="W50" s="509"/>
    </row>
    <row r="51" spans="9:23" x14ac:dyDescent="0.25">
      <c r="I51" s="187" t="s">
        <v>1006</v>
      </c>
      <c r="J51" s="336" t="s">
        <v>1780</v>
      </c>
      <c r="K51" s="333">
        <v>824504</v>
      </c>
      <c r="L51" s="333">
        <v>0</v>
      </c>
      <c r="M51" s="333">
        <v>0</v>
      </c>
      <c r="N51" s="333">
        <v>0</v>
      </c>
      <c r="O51" s="343">
        <f t="shared" si="7"/>
        <v>0</v>
      </c>
      <c r="P51" s="333">
        <f t="shared" si="8"/>
        <v>824504</v>
      </c>
      <c r="Q51" s="403"/>
      <c r="R51" s="347">
        <v>41821</v>
      </c>
      <c r="S51" s="347"/>
      <c r="T51" s="344"/>
      <c r="V51" s="508"/>
      <c r="W51" s="509"/>
    </row>
    <row r="52" spans="9:23" x14ac:dyDescent="0.25">
      <c r="I52" s="187" t="s">
        <v>1006</v>
      </c>
      <c r="J52" s="336" t="s">
        <v>1685</v>
      </c>
      <c r="K52" s="333">
        <v>816000</v>
      </c>
      <c r="L52" s="333">
        <v>0</v>
      </c>
      <c r="M52" s="333">
        <v>0</v>
      </c>
      <c r="N52" s="333">
        <v>0</v>
      </c>
      <c r="O52" s="343">
        <f t="shared" si="7"/>
        <v>0</v>
      </c>
      <c r="P52" s="333">
        <f t="shared" si="8"/>
        <v>816000</v>
      </c>
      <c r="Q52" s="403"/>
      <c r="R52" s="347">
        <v>41624</v>
      </c>
      <c r="S52" s="347"/>
      <c r="T52" s="344"/>
      <c r="V52" s="508"/>
      <c r="W52" s="509"/>
    </row>
    <row r="53" spans="9:23" x14ac:dyDescent="0.25">
      <c r="I53" s="187" t="s">
        <v>1006</v>
      </c>
      <c r="J53" s="336" t="s">
        <v>1339</v>
      </c>
      <c r="K53" s="333">
        <v>785000</v>
      </c>
      <c r="L53" s="333">
        <v>0</v>
      </c>
      <c r="M53" s="333">
        <v>0</v>
      </c>
      <c r="N53" s="333">
        <v>0</v>
      </c>
      <c r="O53" s="343">
        <f t="shared" si="7"/>
        <v>0</v>
      </c>
      <c r="P53" s="333">
        <f t="shared" si="8"/>
        <v>785000</v>
      </c>
      <c r="Q53" s="403"/>
      <c r="R53" s="347">
        <v>41325</v>
      </c>
      <c r="S53" s="347"/>
      <c r="T53" s="344"/>
      <c r="W53" s="509"/>
    </row>
    <row r="54" spans="9:23" x14ac:dyDescent="0.25">
      <c r="I54" s="187" t="s">
        <v>1004</v>
      </c>
      <c r="J54" s="336" t="s">
        <v>1765</v>
      </c>
      <c r="K54" s="333">
        <v>596830</v>
      </c>
      <c r="L54" s="333">
        <v>0</v>
      </c>
      <c r="M54" s="333">
        <v>0</v>
      </c>
      <c r="N54" s="333">
        <v>0</v>
      </c>
      <c r="O54" s="343">
        <f t="shared" si="7"/>
        <v>0</v>
      </c>
      <c r="P54" s="333">
        <f t="shared" si="8"/>
        <v>596830</v>
      </c>
      <c r="Q54" s="403"/>
      <c r="R54" s="347">
        <v>41798</v>
      </c>
      <c r="S54" s="347"/>
      <c r="T54" s="344"/>
    </row>
    <row r="55" spans="9:23" x14ac:dyDescent="0.25">
      <c r="I55" s="34" t="s">
        <v>1198</v>
      </c>
      <c r="J55" s="345" t="s">
        <v>1708</v>
      </c>
      <c r="K55" s="278">
        <v>458000</v>
      </c>
      <c r="L55" s="278"/>
      <c r="M55" s="278">
        <v>0</v>
      </c>
      <c r="N55" s="278">
        <v>0</v>
      </c>
      <c r="O55" s="278">
        <f t="shared" si="7"/>
        <v>0</v>
      </c>
      <c r="P55" s="278">
        <v>0</v>
      </c>
      <c r="Q55" s="404"/>
      <c r="R55" s="352"/>
      <c r="S55" s="352"/>
      <c r="T55" s="351"/>
    </row>
    <row r="56" spans="9:23" x14ac:dyDescent="0.25">
      <c r="I56" s="187" t="s">
        <v>1003</v>
      </c>
      <c r="J56" s="336" t="s">
        <v>1017</v>
      </c>
      <c r="K56" s="333">
        <v>0</v>
      </c>
      <c r="L56" s="333">
        <v>0</v>
      </c>
      <c r="M56" s="333">
        <v>0</v>
      </c>
      <c r="N56" s="333">
        <v>0</v>
      </c>
      <c r="O56" s="343">
        <f t="shared" si="7"/>
        <v>0</v>
      </c>
      <c r="P56" s="333">
        <f>IF(M56=0,K56,0)</f>
        <v>0</v>
      </c>
      <c r="Q56" s="403"/>
      <c r="R56" s="347">
        <v>40993</v>
      </c>
      <c r="S56" s="347"/>
      <c r="T56" s="344"/>
    </row>
    <row r="57" spans="9:23" x14ac:dyDescent="0.25">
      <c r="I57" s="187" t="s">
        <v>1004</v>
      </c>
      <c r="J57" s="336" t="s">
        <v>1956</v>
      </c>
      <c r="K57" s="333">
        <v>25000</v>
      </c>
      <c r="L57" s="333">
        <v>1860</v>
      </c>
      <c r="M57" s="333">
        <v>0</v>
      </c>
      <c r="N57" s="333">
        <v>0</v>
      </c>
      <c r="O57" s="343">
        <f t="shared" si="7"/>
        <v>0</v>
      </c>
      <c r="P57" s="333">
        <f>IF(M57=0,K57,0)</f>
        <v>25000</v>
      </c>
      <c r="Q57" s="403"/>
      <c r="R57" s="347">
        <v>41932</v>
      </c>
      <c r="S57" s="347"/>
      <c r="T57" s="344"/>
    </row>
    <row r="58" spans="9:23" x14ac:dyDescent="0.25">
      <c r="I58" s="187" t="s">
        <v>1005</v>
      </c>
      <c r="J58" s="336" t="s">
        <v>1968</v>
      </c>
      <c r="K58" s="333">
        <v>28000</v>
      </c>
      <c r="L58" s="333">
        <v>876</v>
      </c>
      <c r="M58" s="333">
        <v>0</v>
      </c>
      <c r="N58" s="333">
        <v>0</v>
      </c>
      <c r="O58" s="343">
        <f t="shared" ref="O58" si="9">IF(M58=0,0,M58-K58)-N58</f>
        <v>0</v>
      </c>
      <c r="P58" s="333">
        <f t="shared" ref="P58" si="10">IF(M58=0,K58,0)</f>
        <v>28000</v>
      </c>
      <c r="Q58" s="403"/>
      <c r="R58" s="347">
        <v>41949</v>
      </c>
      <c r="S58" s="347"/>
      <c r="T58" s="344"/>
    </row>
    <row r="59" spans="9:23" x14ac:dyDescent="0.25">
      <c r="I59" s="187" t="s">
        <v>1005</v>
      </c>
      <c r="J59" s="336" t="s">
        <v>1967</v>
      </c>
      <c r="K59" s="333">
        <v>21000</v>
      </c>
      <c r="L59" s="333">
        <v>972</v>
      </c>
      <c r="M59" s="333">
        <v>0</v>
      </c>
      <c r="N59" s="333">
        <v>0</v>
      </c>
      <c r="O59" s="343">
        <f t="shared" ref="O59:O60" si="11">IF(M59=0,0,M59-K59)-N59</f>
        <v>0</v>
      </c>
      <c r="P59" s="333">
        <f t="shared" ref="P59:P60" si="12">IF(M59=0,K59,0)</f>
        <v>21000</v>
      </c>
      <c r="Q59" s="403"/>
      <c r="R59" s="347">
        <v>41949</v>
      </c>
      <c r="S59" s="347"/>
      <c r="T59" s="344"/>
    </row>
    <row r="60" spans="9:23" x14ac:dyDescent="0.25">
      <c r="I60" s="187" t="s">
        <v>1005</v>
      </c>
      <c r="J60" s="336" t="s">
        <v>1966</v>
      </c>
      <c r="K60" s="333">
        <v>36000</v>
      </c>
      <c r="L60" s="333">
        <v>996</v>
      </c>
      <c r="M60" s="333">
        <v>0</v>
      </c>
      <c r="N60" s="333">
        <v>0</v>
      </c>
      <c r="O60" s="343">
        <f t="shared" si="11"/>
        <v>0</v>
      </c>
      <c r="P60" s="333">
        <f t="shared" si="12"/>
        <v>36000</v>
      </c>
      <c r="Q60" s="403"/>
      <c r="R60" s="347">
        <v>41949</v>
      </c>
      <c r="S60" s="347"/>
      <c r="T60" s="344"/>
    </row>
    <row r="61" spans="9:23" x14ac:dyDescent="0.25">
      <c r="I61" s="187" t="s">
        <v>1005</v>
      </c>
      <c r="J61" s="336" t="s">
        <v>1969</v>
      </c>
      <c r="K61" s="333">
        <v>3000</v>
      </c>
      <c r="L61" s="333">
        <v>684</v>
      </c>
      <c r="M61" s="333">
        <v>0</v>
      </c>
      <c r="N61" s="333">
        <v>0</v>
      </c>
      <c r="O61" s="343">
        <f t="shared" ref="O61:O63" si="13">IF(M61=0,0,M61-K61)-N61</f>
        <v>0</v>
      </c>
      <c r="P61" s="333">
        <f t="shared" ref="P61:P63" si="14">IF(M61=0,K61,0)</f>
        <v>3000</v>
      </c>
      <c r="Q61" s="403"/>
      <c r="R61" s="347">
        <v>41953</v>
      </c>
      <c r="S61" s="347"/>
      <c r="T61" s="344"/>
    </row>
    <row r="62" spans="9:23" x14ac:dyDescent="0.25">
      <c r="I62" s="187" t="s">
        <v>1005</v>
      </c>
      <c r="J62" s="336" t="s">
        <v>1970</v>
      </c>
      <c r="K62" s="333">
        <v>15000</v>
      </c>
      <c r="L62" s="333">
        <v>350</v>
      </c>
      <c r="M62" s="333">
        <v>0</v>
      </c>
      <c r="N62" s="333">
        <v>0</v>
      </c>
      <c r="O62" s="343">
        <f t="shared" si="13"/>
        <v>0</v>
      </c>
      <c r="P62" s="333">
        <f t="shared" si="14"/>
        <v>15000</v>
      </c>
      <c r="Q62" s="403"/>
      <c r="R62" s="347">
        <v>41953</v>
      </c>
      <c r="S62" s="347"/>
      <c r="T62" s="344"/>
    </row>
    <row r="63" spans="9:23" x14ac:dyDescent="0.25">
      <c r="I63" s="187" t="s">
        <v>1005</v>
      </c>
      <c r="J63" s="336" t="s">
        <v>1971</v>
      </c>
      <c r="K63" s="333">
        <v>17000</v>
      </c>
      <c r="L63" s="333">
        <v>1044</v>
      </c>
      <c r="M63" s="333">
        <v>0</v>
      </c>
      <c r="N63" s="333">
        <v>0</v>
      </c>
      <c r="O63" s="343">
        <f t="shared" si="13"/>
        <v>0</v>
      </c>
      <c r="P63" s="333">
        <f t="shared" si="14"/>
        <v>17000</v>
      </c>
      <c r="Q63" s="403"/>
      <c r="R63" s="347">
        <v>41953</v>
      </c>
      <c r="S63" s="347"/>
      <c r="T63" s="344"/>
    </row>
    <row r="64" spans="9:23" x14ac:dyDescent="0.25">
      <c r="I64" s="187" t="s">
        <v>1005</v>
      </c>
      <c r="J64" s="336" t="s">
        <v>1972</v>
      </c>
      <c r="K64" s="333">
        <v>98000</v>
      </c>
      <c r="L64" s="333">
        <v>1620</v>
      </c>
      <c r="M64" s="333">
        <v>0</v>
      </c>
      <c r="N64" s="333">
        <v>0</v>
      </c>
      <c r="O64" s="343">
        <f t="shared" ref="O64" si="15">IF(M64=0,0,M64-K64)-N64</f>
        <v>0</v>
      </c>
      <c r="P64" s="333">
        <f t="shared" ref="P64" si="16">IF(M64=0,K64,0)</f>
        <v>98000</v>
      </c>
      <c r="Q64" s="403"/>
      <c r="R64" s="347">
        <v>41956</v>
      </c>
      <c r="S64" s="347"/>
      <c r="T64" s="344"/>
    </row>
    <row r="65" spans="9:20" x14ac:dyDescent="0.25">
      <c r="I65" s="187" t="s">
        <v>1005</v>
      </c>
      <c r="J65" s="336" t="s">
        <v>1973</v>
      </c>
      <c r="K65" s="333">
        <v>6000</v>
      </c>
      <c r="L65" s="333">
        <v>540</v>
      </c>
      <c r="M65" s="333">
        <v>0</v>
      </c>
      <c r="N65" s="333">
        <v>0</v>
      </c>
      <c r="O65" s="343">
        <f t="shared" ref="O65" si="17">IF(M65=0,0,M65-K65)-N65</f>
        <v>0</v>
      </c>
      <c r="P65" s="333">
        <f t="shared" ref="P65" si="18">IF(M65=0,K65,0)</f>
        <v>6000</v>
      </c>
      <c r="Q65" s="403"/>
      <c r="R65" s="347">
        <v>41956</v>
      </c>
      <c r="S65" s="347"/>
      <c r="T65" s="344"/>
    </row>
    <row r="66" spans="9:20" x14ac:dyDescent="0.25">
      <c r="I66" s="187" t="s">
        <v>1005</v>
      </c>
      <c r="J66" s="336" t="s">
        <v>1974</v>
      </c>
      <c r="K66" s="333">
        <v>35000</v>
      </c>
      <c r="L66" s="333">
        <v>756</v>
      </c>
      <c r="M66" s="333">
        <v>0</v>
      </c>
      <c r="N66" s="333">
        <v>0</v>
      </c>
      <c r="O66" s="343">
        <f t="shared" ref="O66" si="19">IF(M66=0,0,M66-K66)-N66</f>
        <v>0</v>
      </c>
      <c r="P66" s="333">
        <f t="shared" ref="P66" si="20">IF(M66=0,K66,0)</f>
        <v>35000</v>
      </c>
      <c r="Q66" s="403"/>
      <c r="R66" s="347">
        <v>41956</v>
      </c>
      <c r="S66" s="347"/>
      <c r="T66" s="344"/>
    </row>
    <row r="67" spans="9:20" x14ac:dyDescent="0.25">
      <c r="I67" s="187" t="s">
        <v>1005</v>
      </c>
      <c r="J67" s="336" t="s">
        <v>1975</v>
      </c>
      <c r="K67" s="333">
        <v>31000</v>
      </c>
      <c r="L67" s="333">
        <v>1044</v>
      </c>
      <c r="M67" s="333">
        <v>0</v>
      </c>
      <c r="N67" s="333">
        <v>0</v>
      </c>
      <c r="O67" s="343">
        <f t="shared" ref="O67" si="21">IF(M67=0,0,M67-K67)-N67</f>
        <v>0</v>
      </c>
      <c r="P67" s="333">
        <f t="shared" ref="P67" si="22">IF(M67=0,K67,0)</f>
        <v>31000</v>
      </c>
      <c r="Q67" s="403"/>
      <c r="R67" s="347">
        <v>41956</v>
      </c>
      <c r="S67" s="347"/>
      <c r="T67" s="344"/>
    </row>
    <row r="68" spans="9:20" x14ac:dyDescent="0.25">
      <c r="I68" s="187" t="s">
        <v>1005</v>
      </c>
      <c r="J68" s="336" t="s">
        <v>1976</v>
      </c>
      <c r="K68" s="333">
        <v>35000</v>
      </c>
      <c r="L68" s="333">
        <v>828</v>
      </c>
      <c r="M68" s="333">
        <v>0</v>
      </c>
      <c r="N68" s="333">
        <v>0</v>
      </c>
      <c r="O68" s="343">
        <f t="shared" ref="O68" si="23">IF(M68=0,0,M68-K68)-N68</f>
        <v>0</v>
      </c>
      <c r="P68" s="333">
        <f t="shared" ref="P68" si="24">IF(M68=0,K68,0)</f>
        <v>35000</v>
      </c>
      <c r="Q68" s="403"/>
      <c r="R68" s="347">
        <v>41956</v>
      </c>
      <c r="S68" s="347"/>
      <c r="T68" s="344"/>
    </row>
    <row r="69" spans="9:20" x14ac:dyDescent="0.25">
      <c r="I69" s="187" t="s">
        <v>1005</v>
      </c>
      <c r="J69" s="336" t="s">
        <v>1977</v>
      </c>
      <c r="K69" s="333">
        <v>38500</v>
      </c>
      <c r="L69" s="333">
        <v>900</v>
      </c>
      <c r="M69" s="333">
        <v>0</v>
      </c>
      <c r="N69" s="333">
        <v>0</v>
      </c>
      <c r="O69" s="343">
        <f t="shared" ref="O69" si="25">IF(M69=0,0,M69-K69)-N69</f>
        <v>0</v>
      </c>
      <c r="P69" s="333">
        <f t="shared" ref="P69" si="26">IF(M69=0,K69,0)</f>
        <v>38500</v>
      </c>
      <c r="Q69" s="403"/>
      <c r="R69" s="347">
        <v>41956</v>
      </c>
      <c r="S69" s="347"/>
      <c r="T69" s="344"/>
    </row>
    <row r="70" spans="9:20" x14ac:dyDescent="0.25">
      <c r="I70" s="187" t="s">
        <v>1005</v>
      </c>
      <c r="J70" s="336" t="s">
        <v>1978</v>
      </c>
      <c r="K70" s="333">
        <v>13000</v>
      </c>
      <c r="L70" s="333">
        <v>900</v>
      </c>
      <c r="M70" s="333">
        <v>0</v>
      </c>
      <c r="N70" s="333">
        <v>0</v>
      </c>
      <c r="O70" s="343">
        <f t="shared" ref="O70" si="27">IF(M70=0,0,M70-K70)-N70</f>
        <v>0</v>
      </c>
      <c r="P70" s="333">
        <f t="shared" ref="P70" si="28">IF(M70=0,K70,0)</f>
        <v>13000</v>
      </c>
      <c r="Q70" s="403"/>
      <c r="R70" s="347">
        <v>41958</v>
      </c>
      <c r="S70" s="347"/>
      <c r="T70" s="344"/>
    </row>
    <row r="71" spans="9:20" x14ac:dyDescent="0.25">
      <c r="I71" s="187" t="s">
        <v>1005</v>
      </c>
      <c r="J71" s="336" t="s">
        <v>1979</v>
      </c>
      <c r="K71" s="333">
        <v>35000</v>
      </c>
      <c r="L71" s="333">
        <v>828</v>
      </c>
      <c r="M71" s="333">
        <v>0</v>
      </c>
      <c r="N71" s="333">
        <v>0</v>
      </c>
      <c r="O71" s="343">
        <f t="shared" ref="O71" si="29">IF(M71=0,0,M71-K71)-N71</f>
        <v>0</v>
      </c>
      <c r="P71" s="333">
        <f t="shared" ref="P71" si="30">IF(M71=0,K71,0)</f>
        <v>35000</v>
      </c>
      <c r="Q71" s="403"/>
      <c r="R71" s="347">
        <v>41962</v>
      </c>
      <c r="S71" s="347"/>
      <c r="T71" s="344"/>
    </row>
    <row r="72" spans="9:20" x14ac:dyDescent="0.25">
      <c r="I72" s="187" t="s">
        <v>1005</v>
      </c>
      <c r="J72" s="336" t="s">
        <v>1980</v>
      </c>
      <c r="K72" s="333">
        <v>31000</v>
      </c>
      <c r="L72" s="333">
        <v>684</v>
      </c>
      <c r="M72" s="333">
        <v>0</v>
      </c>
      <c r="N72" s="333">
        <v>0</v>
      </c>
      <c r="O72" s="343">
        <f t="shared" ref="O72" si="31">IF(M72=0,0,M72-K72)-N72</f>
        <v>0</v>
      </c>
      <c r="P72" s="333">
        <f t="shared" ref="P72" si="32">IF(M72=0,K72,0)</f>
        <v>31000</v>
      </c>
      <c r="Q72" s="403"/>
      <c r="R72" s="347">
        <v>41960</v>
      </c>
      <c r="S72" s="347"/>
      <c r="T72" s="344"/>
    </row>
    <row r="73" spans="9:20" x14ac:dyDescent="0.25">
      <c r="I73" s="187" t="s">
        <v>1005</v>
      </c>
      <c r="J73" s="336" t="s">
        <v>1981</v>
      </c>
      <c r="K73" s="333">
        <v>30000</v>
      </c>
      <c r="L73" s="333">
        <v>492</v>
      </c>
      <c r="M73" s="333">
        <v>0</v>
      </c>
      <c r="N73" s="333">
        <v>0</v>
      </c>
      <c r="O73" s="343">
        <f t="shared" ref="O73" si="33">IF(M73=0,0,M73-K73)-N73</f>
        <v>0</v>
      </c>
      <c r="P73" s="333">
        <f t="shared" ref="P73" si="34">IF(M73=0,K73,0)</f>
        <v>30000</v>
      </c>
      <c r="Q73" s="403"/>
      <c r="R73" s="347">
        <v>41960</v>
      </c>
      <c r="S73" s="347"/>
      <c r="T73" s="344"/>
    </row>
    <row r="74" spans="9:20" x14ac:dyDescent="0.25">
      <c r="I74" s="187" t="s">
        <v>1005</v>
      </c>
      <c r="J74" s="336" t="s">
        <v>1982</v>
      </c>
      <c r="K74" s="333">
        <v>35000</v>
      </c>
      <c r="L74" s="333">
        <v>780</v>
      </c>
      <c r="M74" s="333">
        <v>0</v>
      </c>
      <c r="N74" s="333">
        <v>0</v>
      </c>
      <c r="O74" s="343">
        <f t="shared" ref="O74" si="35">IF(M74=0,0,M74-K74)-N74</f>
        <v>0</v>
      </c>
      <c r="P74" s="333">
        <f t="shared" ref="P74" si="36">IF(M74=0,K74,0)</f>
        <v>35000</v>
      </c>
      <c r="Q74" s="403"/>
      <c r="R74" s="347">
        <v>41960</v>
      </c>
      <c r="S74" s="347"/>
      <c r="T74" s="344"/>
    </row>
    <row r="75" spans="9:20" x14ac:dyDescent="0.25">
      <c r="I75" s="34"/>
      <c r="J75" s="345"/>
      <c r="K75" s="278"/>
      <c r="L75" s="278"/>
      <c r="M75" s="278"/>
      <c r="N75" s="278"/>
      <c r="O75" s="278"/>
      <c r="P75" s="278"/>
      <c r="Q75" s="404"/>
      <c r="R75" s="352"/>
      <c r="S75" s="352"/>
      <c r="T75" s="501"/>
    </row>
    <row r="76" spans="9:20" x14ac:dyDescent="0.25">
      <c r="I76" s="34"/>
      <c r="J76" s="345"/>
      <c r="K76" s="278"/>
      <c r="L76" s="278"/>
      <c r="M76" s="278"/>
      <c r="N76" s="278"/>
      <c r="O76" s="278"/>
      <c r="P76" s="278"/>
      <c r="Q76" s="404"/>
      <c r="R76" s="352"/>
      <c r="S76" s="352"/>
      <c r="T76" s="501"/>
    </row>
    <row r="77" spans="9:20" x14ac:dyDescent="0.25">
      <c r="I77" s="34"/>
      <c r="J77" s="345"/>
      <c r="K77" s="278"/>
      <c r="L77" s="278"/>
      <c r="M77" s="278"/>
      <c r="N77" s="278"/>
      <c r="O77" s="278"/>
      <c r="P77" s="278"/>
      <c r="Q77" s="404"/>
      <c r="R77" s="352"/>
      <c r="S77" s="352"/>
      <c r="T77" s="501"/>
    </row>
    <row r="78" spans="9:20" x14ac:dyDescent="0.25">
      <c r="I78" s="34"/>
      <c r="J78" s="345"/>
      <c r="K78" s="278"/>
      <c r="L78" s="278"/>
      <c r="M78" s="278"/>
      <c r="N78" s="278"/>
      <c r="O78" s="278"/>
      <c r="P78" s="278"/>
      <c r="Q78" s="404"/>
      <c r="R78" s="352"/>
      <c r="S78" s="352"/>
      <c r="T78" s="501"/>
    </row>
    <row r="79" spans="9:20" x14ac:dyDescent="0.25">
      <c r="I79" s="34"/>
      <c r="J79" s="345"/>
      <c r="K79" s="278"/>
      <c r="L79" s="278"/>
      <c r="M79" s="278"/>
      <c r="N79" s="278"/>
      <c r="O79" s="278"/>
      <c r="P79" s="278"/>
      <c r="Q79" s="404"/>
      <c r="R79" s="352"/>
      <c r="S79" s="352"/>
      <c r="T79" s="501"/>
    </row>
    <row r="80" spans="9:20" x14ac:dyDescent="0.25">
      <c r="I80" s="34"/>
      <c r="J80" s="345"/>
      <c r="K80" s="278"/>
      <c r="L80" s="278"/>
      <c r="M80" s="278"/>
      <c r="N80" s="278"/>
      <c r="O80" s="278"/>
      <c r="P80" s="278"/>
      <c r="Q80" s="404"/>
      <c r="R80" s="352"/>
      <c r="S80" s="352"/>
      <c r="T80" s="501"/>
    </row>
    <row r="81" spans="9:20" x14ac:dyDescent="0.25">
      <c r="I81" s="34"/>
      <c r="J81" s="345"/>
      <c r="K81" s="278"/>
      <c r="L81" s="278"/>
      <c r="M81" s="278"/>
      <c r="N81" s="278"/>
      <c r="O81" s="278"/>
      <c r="P81" s="278"/>
      <c r="Q81" s="404"/>
      <c r="R81" s="352"/>
      <c r="S81" s="352"/>
      <c r="T81" s="501"/>
    </row>
    <row r="82" spans="9:20" x14ac:dyDescent="0.25">
      <c r="I82" s="34"/>
      <c r="J82" s="345"/>
      <c r="K82" s="278"/>
      <c r="L82" s="278"/>
      <c r="M82" s="278"/>
      <c r="N82" s="278"/>
      <c r="O82" s="278"/>
      <c r="P82" s="278"/>
      <c r="Q82" s="404"/>
      <c r="R82" s="352"/>
      <c r="S82" s="352"/>
      <c r="T82" s="501"/>
    </row>
  </sheetData>
  <autoFilter ref="I3:T67"/>
  <sortState ref="I4:T57">
    <sortCondition descending="1" ref="Q4:Q57"/>
  </sortState>
  <mergeCells count="5">
    <mergeCell ref="B2:G2"/>
    <mergeCell ref="I2:T2"/>
    <mergeCell ref="B3:G3"/>
    <mergeCell ref="B4:C4"/>
    <mergeCell ref="E4:F4"/>
  </mergeCells>
  <conditionalFormatting sqref="F12:F17 O4:O78 T4:T78 Q4:Q78">
    <cfRule type="cellIs" dxfId="1588" priority="105" operator="lessThan">
      <formula>0</formula>
    </cfRule>
    <cfRule type="cellIs" dxfId="1587" priority="106" operator="greaterThan">
      <formula>0</formula>
    </cfRule>
  </conditionalFormatting>
  <conditionalFormatting sqref="O79 T79 Q79">
    <cfRule type="cellIs" dxfId="1586" priority="103" operator="lessThan">
      <formula>0</formula>
    </cfRule>
    <cfRule type="cellIs" dxfId="1585" priority="104" operator="greaterThan">
      <formula>0</formula>
    </cfRule>
  </conditionalFormatting>
  <conditionalFormatting sqref="O80 T80 Q80">
    <cfRule type="cellIs" dxfId="1584" priority="101" operator="lessThan">
      <formula>0</formula>
    </cfRule>
    <cfRule type="cellIs" dxfId="1583" priority="102" operator="greaterThan">
      <formula>0</formula>
    </cfRule>
  </conditionalFormatting>
  <conditionalFormatting sqref="O81 T81 Q81">
    <cfRule type="cellIs" dxfId="1582" priority="99" operator="lessThan">
      <formula>0</formula>
    </cfRule>
    <cfRule type="cellIs" dxfId="1581" priority="100" operator="greaterThan">
      <formula>0</formula>
    </cfRule>
  </conditionalFormatting>
  <conditionalFormatting sqref="O82 T82 Q82">
    <cfRule type="cellIs" dxfId="1580" priority="97" operator="lessThan">
      <formula>0</formula>
    </cfRule>
    <cfRule type="cellIs" dxfId="1579" priority="98" operator="greaterThan">
      <formula>0</formula>
    </cfRule>
  </conditionalFormatting>
  <conditionalFormatting sqref="O52 T52 Q52">
    <cfRule type="cellIs" dxfId="1578" priority="95" operator="lessThan">
      <formula>0</formula>
    </cfRule>
    <cfRule type="cellIs" dxfId="1577" priority="96" operator="greaterThan">
      <formula>0</formula>
    </cfRule>
  </conditionalFormatting>
  <conditionalFormatting sqref="T26">
    <cfRule type="cellIs" dxfId="1576" priority="93" operator="lessThan">
      <formula>0</formula>
    </cfRule>
    <cfRule type="cellIs" dxfId="1575" priority="94" operator="greaterThan">
      <formula>0</formula>
    </cfRule>
  </conditionalFormatting>
  <conditionalFormatting sqref="T36">
    <cfRule type="cellIs" dxfId="1574" priority="91" operator="lessThan">
      <formula>0</formula>
    </cfRule>
    <cfRule type="cellIs" dxfId="1573" priority="92" operator="greaterThan">
      <formula>0</formula>
    </cfRule>
  </conditionalFormatting>
  <conditionalFormatting sqref="T24">
    <cfRule type="cellIs" dxfId="1572" priority="89" operator="lessThan">
      <formula>0</formula>
    </cfRule>
    <cfRule type="cellIs" dxfId="1571" priority="90" operator="greaterThan">
      <formula>0</formula>
    </cfRule>
  </conditionalFormatting>
  <conditionalFormatting sqref="T28">
    <cfRule type="cellIs" dxfId="1570" priority="87" operator="lessThan">
      <formula>0</formula>
    </cfRule>
    <cfRule type="cellIs" dxfId="1569" priority="88" operator="greaterThan">
      <formula>0</formula>
    </cfRule>
  </conditionalFormatting>
  <conditionalFormatting sqref="T30">
    <cfRule type="cellIs" dxfId="1568" priority="85" operator="lessThan">
      <formula>0</formula>
    </cfRule>
    <cfRule type="cellIs" dxfId="1567" priority="86" operator="greaterThan">
      <formula>0</formula>
    </cfRule>
  </conditionalFormatting>
  <conditionalFormatting sqref="T31">
    <cfRule type="cellIs" dxfId="1566" priority="83" operator="lessThan">
      <formula>0</formula>
    </cfRule>
    <cfRule type="cellIs" dxfId="1565" priority="84" operator="greaterThan">
      <formula>0</formula>
    </cfRule>
  </conditionalFormatting>
  <conditionalFormatting sqref="T32">
    <cfRule type="cellIs" dxfId="1564" priority="81" operator="lessThan">
      <formula>0</formula>
    </cfRule>
    <cfRule type="cellIs" dxfId="1563" priority="82" operator="greaterThan">
      <formula>0</formula>
    </cfRule>
  </conditionalFormatting>
  <conditionalFormatting sqref="T33">
    <cfRule type="cellIs" dxfId="1562" priority="79" operator="lessThan">
      <formula>0</formula>
    </cfRule>
    <cfRule type="cellIs" dxfId="1561" priority="80" operator="greaterThan">
      <formula>0</formula>
    </cfRule>
  </conditionalFormatting>
  <conditionalFormatting sqref="T37">
    <cfRule type="cellIs" dxfId="1560" priority="77" operator="lessThan">
      <formula>0</formula>
    </cfRule>
    <cfRule type="cellIs" dxfId="1559" priority="78" operator="greaterThan">
      <formula>0</formula>
    </cfRule>
  </conditionalFormatting>
  <conditionalFormatting sqref="T39">
    <cfRule type="cellIs" dxfId="1558" priority="75" operator="lessThan">
      <formula>0</formula>
    </cfRule>
    <cfRule type="cellIs" dxfId="1557" priority="76" operator="greaterThan">
      <formula>0</formula>
    </cfRule>
  </conditionalFormatting>
  <conditionalFormatting sqref="T40">
    <cfRule type="cellIs" dxfId="1556" priority="73" operator="lessThan">
      <formula>0</formula>
    </cfRule>
    <cfRule type="cellIs" dxfId="1555" priority="74" operator="greaterThan">
      <formula>0</formula>
    </cfRule>
  </conditionalFormatting>
  <conditionalFormatting sqref="T41">
    <cfRule type="cellIs" dxfId="1554" priority="71" operator="lessThan">
      <formula>0</formula>
    </cfRule>
    <cfRule type="cellIs" dxfId="1553" priority="72" operator="greaterThan">
      <formula>0</formula>
    </cfRule>
  </conditionalFormatting>
  <conditionalFormatting sqref="T42">
    <cfRule type="cellIs" dxfId="1552" priority="69" operator="lessThan">
      <formula>0</formula>
    </cfRule>
    <cfRule type="cellIs" dxfId="1551" priority="70" operator="greaterThan">
      <formula>0</formula>
    </cfRule>
  </conditionalFormatting>
  <conditionalFormatting sqref="T44">
    <cfRule type="cellIs" dxfId="1550" priority="67" operator="lessThan">
      <formula>0</formula>
    </cfRule>
    <cfRule type="cellIs" dxfId="1549" priority="68" operator="greaterThan">
      <formula>0</formula>
    </cfRule>
  </conditionalFormatting>
  <conditionalFormatting sqref="T45">
    <cfRule type="cellIs" dxfId="1548" priority="65" operator="lessThan">
      <formula>0</formula>
    </cfRule>
    <cfRule type="cellIs" dxfId="1547" priority="66" operator="greaterThan">
      <formula>0</formula>
    </cfRule>
  </conditionalFormatting>
  <conditionalFormatting sqref="T47">
    <cfRule type="cellIs" dxfId="1546" priority="63" operator="lessThan">
      <formula>0</formula>
    </cfRule>
    <cfRule type="cellIs" dxfId="1545" priority="64" operator="greaterThan">
      <formula>0</formula>
    </cfRule>
  </conditionalFormatting>
  <conditionalFormatting sqref="T48">
    <cfRule type="cellIs" dxfId="1544" priority="61" operator="lessThan">
      <formula>0</formula>
    </cfRule>
    <cfRule type="cellIs" dxfId="1543" priority="62" operator="greaterThan">
      <formula>0</formula>
    </cfRule>
  </conditionalFormatting>
  <conditionalFormatting sqref="T51">
    <cfRule type="cellIs" dxfId="1542" priority="59" operator="lessThan">
      <formula>0</formula>
    </cfRule>
    <cfRule type="cellIs" dxfId="1541" priority="60" operator="greaterThan">
      <formula>0</formula>
    </cfRule>
  </conditionalFormatting>
  <conditionalFormatting sqref="T17">
    <cfRule type="cellIs" dxfId="1540" priority="57" operator="lessThan">
      <formula>0</formula>
    </cfRule>
    <cfRule type="cellIs" dxfId="1539" priority="58" operator="greaterThan">
      <formula>0</formula>
    </cfRule>
  </conditionalFormatting>
  <conditionalFormatting sqref="T38">
    <cfRule type="cellIs" dxfId="1538" priority="55" operator="lessThan">
      <formula>0</formula>
    </cfRule>
    <cfRule type="cellIs" dxfId="1537" priority="56" operator="greaterThan">
      <formula>0</formula>
    </cfRule>
  </conditionalFormatting>
  <conditionalFormatting sqref="T25">
    <cfRule type="cellIs" dxfId="1536" priority="53" operator="lessThan">
      <formula>0</formula>
    </cfRule>
    <cfRule type="cellIs" dxfId="1535" priority="54" operator="greaterThan">
      <formula>0</formula>
    </cfRule>
  </conditionalFormatting>
  <conditionalFormatting sqref="T23">
    <cfRule type="cellIs" dxfId="1534" priority="51" operator="lessThan">
      <formula>0</formula>
    </cfRule>
    <cfRule type="cellIs" dxfId="1533" priority="52" operator="greaterThan">
      <formula>0</formula>
    </cfRule>
  </conditionalFormatting>
  <conditionalFormatting sqref="T27">
    <cfRule type="cellIs" dxfId="1532" priority="49" operator="lessThan">
      <formula>0</formula>
    </cfRule>
    <cfRule type="cellIs" dxfId="1531" priority="50" operator="greaterThan">
      <formula>0</formula>
    </cfRule>
  </conditionalFormatting>
  <conditionalFormatting sqref="O53 T53 Q53">
    <cfRule type="cellIs" dxfId="1530" priority="47" operator="lessThan">
      <formula>0</formula>
    </cfRule>
    <cfRule type="cellIs" dxfId="1529" priority="48" operator="greaterThan">
      <formula>0</formula>
    </cfRule>
  </conditionalFormatting>
  <conditionalFormatting sqref="T53">
    <cfRule type="cellIs" dxfId="1528" priority="45" operator="lessThan">
      <formula>0</formula>
    </cfRule>
    <cfRule type="cellIs" dxfId="1527" priority="46" operator="greaterThan">
      <formula>0</formula>
    </cfRule>
  </conditionalFormatting>
  <conditionalFormatting sqref="T36">
    <cfRule type="cellIs" dxfId="1526" priority="43" operator="lessThan">
      <formula>0</formula>
    </cfRule>
    <cfRule type="cellIs" dxfId="1525" priority="44" operator="greaterThan">
      <formula>0</formula>
    </cfRule>
  </conditionalFormatting>
  <conditionalFormatting sqref="T14">
    <cfRule type="cellIs" dxfId="1524" priority="41" operator="lessThan">
      <formula>0</formula>
    </cfRule>
    <cfRule type="cellIs" dxfId="1523" priority="42" operator="greaterThan">
      <formula>0</formula>
    </cfRule>
  </conditionalFormatting>
  <conditionalFormatting sqref="T31">
    <cfRule type="cellIs" dxfId="1522" priority="39" operator="lessThan">
      <formula>0</formula>
    </cfRule>
    <cfRule type="cellIs" dxfId="1521" priority="40" operator="greaterThan">
      <formula>0</formula>
    </cfRule>
  </conditionalFormatting>
  <conditionalFormatting sqref="T51">
    <cfRule type="cellIs" dxfId="1520" priority="37" operator="lessThan">
      <formula>0</formula>
    </cfRule>
    <cfRule type="cellIs" dxfId="1519" priority="38" operator="greaterThan">
      <formula>0</formula>
    </cfRule>
  </conditionalFormatting>
  <conditionalFormatting sqref="T57">
    <cfRule type="cellIs" dxfId="1518" priority="35" operator="lessThan">
      <formula>0</formula>
    </cfRule>
    <cfRule type="cellIs" dxfId="1517" priority="36" operator="greaterThan">
      <formula>0</formula>
    </cfRule>
  </conditionalFormatting>
  <conditionalFormatting sqref="T58">
    <cfRule type="cellIs" dxfId="1516" priority="33" operator="lessThan">
      <formula>0</formula>
    </cfRule>
    <cfRule type="cellIs" dxfId="1515" priority="34" operator="greaterThan">
      <formula>0</formula>
    </cfRule>
  </conditionalFormatting>
  <conditionalFormatting sqref="T59">
    <cfRule type="cellIs" dxfId="1514" priority="31" operator="lessThan">
      <formula>0</formula>
    </cfRule>
    <cfRule type="cellIs" dxfId="1513" priority="32" operator="greaterThan">
      <formula>0</formula>
    </cfRule>
  </conditionalFormatting>
  <conditionalFormatting sqref="T60">
    <cfRule type="cellIs" dxfId="1512" priority="29" operator="lessThan">
      <formula>0</formula>
    </cfRule>
    <cfRule type="cellIs" dxfId="1511" priority="30" operator="greaterThan">
      <formula>0</formula>
    </cfRule>
  </conditionalFormatting>
  <conditionalFormatting sqref="T61">
    <cfRule type="cellIs" dxfId="1510" priority="27" operator="lessThan">
      <formula>0</formula>
    </cfRule>
    <cfRule type="cellIs" dxfId="1509" priority="28" operator="greaterThan">
      <formula>0</formula>
    </cfRule>
  </conditionalFormatting>
  <conditionalFormatting sqref="T62">
    <cfRule type="cellIs" dxfId="1508" priority="25" operator="lessThan">
      <formula>0</formula>
    </cfRule>
    <cfRule type="cellIs" dxfId="1507" priority="26" operator="greaterThan">
      <formula>0</formula>
    </cfRule>
  </conditionalFormatting>
  <conditionalFormatting sqref="T63">
    <cfRule type="cellIs" dxfId="1506" priority="23" operator="lessThan">
      <formula>0</formula>
    </cfRule>
    <cfRule type="cellIs" dxfId="1505" priority="24" operator="greaterThan">
      <formula>0</formula>
    </cfRule>
  </conditionalFormatting>
  <conditionalFormatting sqref="T64">
    <cfRule type="cellIs" dxfId="1504" priority="21" operator="lessThan">
      <formula>0</formula>
    </cfRule>
    <cfRule type="cellIs" dxfId="1503" priority="22" operator="greaterThan">
      <formula>0</formula>
    </cfRule>
  </conditionalFormatting>
  <conditionalFormatting sqref="T65">
    <cfRule type="cellIs" dxfId="1502" priority="19" operator="lessThan">
      <formula>0</formula>
    </cfRule>
    <cfRule type="cellIs" dxfId="1501" priority="20" operator="greaterThan">
      <formula>0</formula>
    </cfRule>
  </conditionalFormatting>
  <conditionalFormatting sqref="T66">
    <cfRule type="cellIs" dxfId="1500" priority="17" operator="lessThan">
      <formula>0</formula>
    </cfRule>
    <cfRule type="cellIs" dxfId="1499" priority="18" operator="greaterThan">
      <formula>0</formula>
    </cfRule>
  </conditionalFormatting>
  <conditionalFormatting sqref="T67">
    <cfRule type="cellIs" dxfId="1498" priority="15" operator="lessThan">
      <formula>0</formula>
    </cfRule>
    <cfRule type="cellIs" dxfId="1497" priority="16" operator="greaterThan">
      <formula>0</formula>
    </cfRule>
  </conditionalFormatting>
  <conditionalFormatting sqref="T68">
    <cfRule type="cellIs" dxfId="1496" priority="13" operator="lessThan">
      <formula>0</formula>
    </cfRule>
    <cfRule type="cellIs" dxfId="1495" priority="14" operator="greaterThan">
      <formula>0</formula>
    </cfRule>
  </conditionalFormatting>
  <conditionalFormatting sqref="T69">
    <cfRule type="cellIs" dxfId="1494" priority="11" operator="lessThan">
      <formula>0</formula>
    </cfRule>
    <cfRule type="cellIs" dxfId="1493" priority="12" operator="greaterThan">
      <formula>0</formula>
    </cfRule>
  </conditionalFormatting>
  <conditionalFormatting sqref="T70">
    <cfRule type="cellIs" dxfId="1492" priority="9" operator="lessThan">
      <formula>0</formula>
    </cfRule>
    <cfRule type="cellIs" dxfId="1491" priority="10" operator="greaterThan">
      <formula>0</formula>
    </cfRule>
  </conditionalFormatting>
  <conditionalFormatting sqref="T71">
    <cfRule type="cellIs" dxfId="1490" priority="7" operator="lessThan">
      <formula>0</formula>
    </cfRule>
    <cfRule type="cellIs" dxfId="1489" priority="8" operator="greaterThan">
      <formula>0</formula>
    </cfRule>
  </conditionalFormatting>
  <conditionalFormatting sqref="T72">
    <cfRule type="cellIs" dxfId="1488" priority="5" operator="lessThan">
      <formula>0</formula>
    </cfRule>
    <cfRule type="cellIs" dxfId="1487" priority="6" operator="greaterThan">
      <formula>0</formula>
    </cfRule>
  </conditionalFormatting>
  <conditionalFormatting sqref="T73">
    <cfRule type="cellIs" dxfId="1486" priority="3" operator="lessThan">
      <formula>0</formula>
    </cfRule>
    <cfRule type="cellIs" dxfId="1485" priority="4" operator="greaterThan">
      <formula>0</formula>
    </cfRule>
  </conditionalFormatting>
  <conditionalFormatting sqref="T74">
    <cfRule type="cellIs" dxfId="1484" priority="1" operator="lessThan">
      <formula>0</formula>
    </cfRule>
    <cfRule type="cellIs" dxfId="1483" priority="2" operator="greaterThan">
      <formula>0</formula>
    </cfRule>
  </conditionalFormatting>
  <pageMargins left="0.7" right="0.7" top="0.75" bottom="0.75" header="0.3" footer="0.3"/>
  <pageSetup paperSize="9" orientation="portrait"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V52"/>
  <sheetViews>
    <sheetView zoomScale="90" zoomScaleNormal="90" workbookViewId="0">
      <pane xSplit="3" ySplit="4" topLeftCell="F5" activePane="bottomRight" state="frozen"/>
      <selection pane="topRight" activeCell="D1" sqref="D1"/>
      <selection pane="bottomLeft" activeCell="A5" sqref="A5"/>
      <selection pane="bottomRight" activeCell="F7" sqref="F7"/>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6.7109375" style="556" bestFit="1" customWidth="1"/>
    <col min="6" max="6" width="16.7109375" bestFit="1" customWidth="1"/>
    <col min="7" max="7" width="16.7109375" style="97" bestFit="1" customWidth="1"/>
    <col min="8" max="9" width="16.7109375" bestFit="1" customWidth="1"/>
    <col min="10" max="19" width="16.7109375" style="5" bestFit="1" customWidth="1"/>
    <col min="20" max="20" width="11.42578125" style="5"/>
    <col min="21" max="21" width="16.140625" style="5" customWidth="1"/>
    <col min="22" max="22" width="9.7109375" style="5" bestFit="1" customWidth="1"/>
    <col min="23" max="16384" width="11.42578125" style="5"/>
  </cols>
  <sheetData>
    <row r="1" spans="1:22" ht="23.25" x14ac:dyDescent="0.35">
      <c r="A1" s="156" t="s">
        <v>13</v>
      </c>
      <c r="B1" s="255"/>
      <c r="C1" s="255"/>
    </row>
    <row r="2" spans="1:22" s="178" customFormat="1" ht="12.75" x14ac:dyDescent="0.2">
      <c r="B2" s="297"/>
      <c r="C2" s="297"/>
      <c r="D2" s="181">
        <f>EconomiaT44!S2+7</f>
        <v>41965</v>
      </c>
      <c r="E2" s="181">
        <f>D2+7</f>
        <v>41972</v>
      </c>
      <c r="F2" s="181">
        <f t="shared" ref="F2:S2" si="0">E2+7</f>
        <v>41979</v>
      </c>
      <c r="G2" s="181">
        <f t="shared" si="0"/>
        <v>41986</v>
      </c>
      <c r="H2" s="181">
        <f t="shared" si="0"/>
        <v>41993</v>
      </c>
      <c r="I2" s="181">
        <f t="shared" si="0"/>
        <v>42000</v>
      </c>
      <c r="J2" s="181">
        <f t="shared" si="0"/>
        <v>42007</v>
      </c>
      <c r="K2" s="181">
        <f t="shared" si="0"/>
        <v>42014</v>
      </c>
      <c r="L2" s="181">
        <f t="shared" si="0"/>
        <v>42021</v>
      </c>
      <c r="M2" s="181">
        <f t="shared" si="0"/>
        <v>42028</v>
      </c>
      <c r="N2" s="181">
        <f t="shared" si="0"/>
        <v>42035</v>
      </c>
      <c r="O2" s="181">
        <f t="shared" si="0"/>
        <v>42042</v>
      </c>
      <c r="P2" s="181">
        <f t="shared" si="0"/>
        <v>42049</v>
      </c>
      <c r="Q2" s="181">
        <f t="shared" si="0"/>
        <v>42056</v>
      </c>
      <c r="R2" s="181">
        <f t="shared" si="0"/>
        <v>42063</v>
      </c>
      <c r="S2" s="181">
        <f t="shared" si="0"/>
        <v>42070</v>
      </c>
      <c r="T2" s="181"/>
    </row>
    <row r="3" spans="1:22" s="6" customFormat="1" x14ac:dyDescent="0.25">
      <c r="A3" s="27"/>
      <c r="B3" s="27"/>
      <c r="C3" s="298" t="s">
        <v>2067</v>
      </c>
      <c r="D3" s="148" t="s">
        <v>16</v>
      </c>
      <c r="E3" s="148" t="s">
        <v>715</v>
      </c>
      <c r="F3" s="148" t="s">
        <v>702</v>
      </c>
      <c r="G3" s="148" t="s">
        <v>703</v>
      </c>
      <c r="H3" s="148" t="s">
        <v>704</v>
      </c>
      <c r="I3" s="148" t="s">
        <v>705</v>
      </c>
      <c r="J3" s="148" t="s">
        <v>21</v>
      </c>
      <c r="K3" s="148" t="s">
        <v>22</v>
      </c>
      <c r="L3" s="148" t="s">
        <v>23</v>
      </c>
      <c r="M3" s="148" t="s">
        <v>17</v>
      </c>
      <c r="N3" s="148" t="s">
        <v>18</v>
      </c>
      <c r="O3" s="148" t="s">
        <v>24</v>
      </c>
      <c r="P3" s="148" t="s">
        <v>25</v>
      </c>
      <c r="Q3" s="148" t="s">
        <v>26</v>
      </c>
      <c r="R3" s="148" t="s">
        <v>27</v>
      </c>
      <c r="S3" s="159" t="s">
        <v>28</v>
      </c>
    </row>
    <row r="4" spans="1:22" s="6" customFormat="1" x14ac:dyDescent="0.25">
      <c r="A4" s="27"/>
      <c r="B4" s="298"/>
      <c r="C4" s="298" t="s">
        <v>42</v>
      </c>
      <c r="D4" s="215">
        <v>2693</v>
      </c>
      <c r="E4" s="215">
        <f>D4+(D11/30)</f>
        <v>2696</v>
      </c>
      <c r="F4" s="215">
        <f t="shared" ref="F4:R4" si="1">E4+(E11/30)</f>
        <v>2701</v>
      </c>
      <c r="G4" s="215">
        <f t="shared" si="1"/>
        <v>2704</v>
      </c>
      <c r="H4" s="215">
        <f>G4+(G11/30)-2</f>
        <v>2707</v>
      </c>
      <c r="I4" s="215">
        <f t="shared" si="1"/>
        <v>2713</v>
      </c>
      <c r="J4" s="215">
        <f t="shared" si="1"/>
        <v>2717</v>
      </c>
      <c r="K4" s="215">
        <f t="shared" si="1"/>
        <v>2717</v>
      </c>
      <c r="L4" s="215">
        <f t="shared" si="1"/>
        <v>2721</v>
      </c>
      <c r="M4" s="215">
        <f t="shared" si="1"/>
        <v>2725</v>
      </c>
      <c r="N4" s="215">
        <f t="shared" si="1"/>
        <v>2729</v>
      </c>
      <c r="O4" s="215">
        <f t="shared" si="1"/>
        <v>2733</v>
      </c>
      <c r="P4" s="215">
        <f t="shared" si="1"/>
        <v>2737</v>
      </c>
      <c r="Q4" s="215">
        <f>P4+(P11/30)-2</f>
        <v>2739</v>
      </c>
      <c r="R4" s="215">
        <f t="shared" si="1"/>
        <v>2739</v>
      </c>
      <c r="S4" s="503">
        <f>R4+(R11/30)</f>
        <v>2741</v>
      </c>
    </row>
    <row r="5" spans="1:22" s="7" customFormat="1" ht="18.75" x14ac:dyDescent="0.3">
      <c r="A5" s="29" t="s">
        <v>12</v>
      </c>
      <c r="B5" s="29"/>
      <c r="C5" s="296">
        <f>EconomiaT44!S24-7999</f>
        <v>1933358</v>
      </c>
      <c r="D5" s="197">
        <f>C5</f>
        <v>1933358</v>
      </c>
      <c r="E5" s="197">
        <f>D24</f>
        <v>1815991</v>
      </c>
      <c r="F5" s="197">
        <f t="shared" ref="F5:S5" si="2">E24</f>
        <v>3814727</v>
      </c>
      <c r="G5" s="197">
        <f t="shared" si="2"/>
        <v>4599912</v>
      </c>
      <c r="H5" s="197">
        <f t="shared" si="2"/>
        <v>1310494</v>
      </c>
      <c r="I5" s="197">
        <f t="shared" si="2"/>
        <v>1716099</v>
      </c>
      <c r="J5" s="197">
        <f t="shared" si="2"/>
        <v>1500982</v>
      </c>
      <c r="K5" s="197">
        <f t="shared" si="2"/>
        <v>1778638</v>
      </c>
      <c r="L5" s="197">
        <f t="shared" si="2"/>
        <v>1955183</v>
      </c>
      <c r="M5" s="197">
        <f t="shared" si="2"/>
        <v>991132</v>
      </c>
      <c r="N5" s="197">
        <f t="shared" si="2"/>
        <v>829706</v>
      </c>
      <c r="O5" s="197">
        <f t="shared" si="2"/>
        <v>1490221</v>
      </c>
      <c r="P5" s="197">
        <f t="shared" si="2"/>
        <v>1348514</v>
      </c>
      <c r="Q5" s="197">
        <f t="shared" si="2"/>
        <v>1514828</v>
      </c>
      <c r="R5" s="197">
        <f t="shared" si="2"/>
        <v>1686640</v>
      </c>
      <c r="S5" s="198">
        <f t="shared" si="2"/>
        <v>1818816</v>
      </c>
    </row>
    <row r="6" spans="1:22" x14ac:dyDescent="0.25">
      <c r="A6" s="8" t="s">
        <v>0</v>
      </c>
      <c r="B6" s="8" t="s">
        <v>0</v>
      </c>
      <c r="C6" s="199">
        <f>SUM(D6:S6)</f>
        <v>5114528</v>
      </c>
      <c r="D6" s="200">
        <f>30802+18789</f>
        <v>49591</v>
      </c>
      <c r="E6" s="200">
        <v>59735</v>
      </c>
      <c r="F6" s="200">
        <v>570388</v>
      </c>
      <c r="G6" s="200">
        <v>46577</v>
      </c>
      <c r="H6" s="570">
        <f>100896+511999</f>
        <v>612895</v>
      </c>
      <c r="I6" s="570">
        <v>46640</v>
      </c>
      <c r="J6" s="200">
        <v>575226</v>
      </c>
      <c r="K6" s="200">
        <v>51106</v>
      </c>
      <c r="L6" s="200">
        <f>481535+152260</f>
        <v>633795</v>
      </c>
      <c r="M6" s="200">
        <v>96612</v>
      </c>
      <c r="N6" s="200">
        <f>525000+135122</f>
        <v>660122</v>
      </c>
      <c r="O6" s="200">
        <v>154308</v>
      </c>
      <c r="P6" s="200">
        <f>513474+120000+83044</f>
        <v>716518</v>
      </c>
      <c r="Q6" s="200">
        <v>17830</v>
      </c>
      <c r="R6" s="200">
        <v>572430</v>
      </c>
      <c r="S6" s="201">
        <v>250755</v>
      </c>
      <c r="U6" s="8" t="s">
        <v>0</v>
      </c>
      <c r="V6" s="219">
        <f>C6/$C$13</f>
        <v>0.27442225297155903</v>
      </c>
    </row>
    <row r="7" spans="1:22" x14ac:dyDescent="0.25">
      <c r="A7" s="8" t="s">
        <v>2</v>
      </c>
      <c r="B7" s="8" t="s">
        <v>2</v>
      </c>
      <c r="C7" s="199">
        <f t="shared" ref="C7:C23" si="3">SUM(D7:S7)</f>
        <v>2350915</v>
      </c>
      <c r="D7" s="202">
        <v>113410</v>
      </c>
      <c r="E7" s="202">
        <v>131725</v>
      </c>
      <c r="F7" s="202">
        <v>142825</v>
      </c>
      <c r="G7" s="202">
        <v>149115</v>
      </c>
      <c r="H7" s="568">
        <v>154000</v>
      </c>
      <c r="I7" s="568">
        <v>155000</v>
      </c>
      <c r="J7" s="202">
        <v>155960</v>
      </c>
      <c r="K7" s="202">
        <v>156330</v>
      </c>
      <c r="L7" s="202">
        <v>156700</v>
      </c>
      <c r="M7" s="202">
        <v>157070</v>
      </c>
      <c r="N7" s="202">
        <v>157255</v>
      </c>
      <c r="O7" s="202">
        <f>N7+370</f>
        <v>157625</v>
      </c>
      <c r="P7" s="202">
        <f>O7+185</f>
        <v>157810</v>
      </c>
      <c r="Q7" s="202">
        <v>142455</v>
      </c>
      <c r="R7" s="202">
        <v>134130</v>
      </c>
      <c r="S7" s="542">
        <v>129505</v>
      </c>
      <c r="U7" s="8" t="s">
        <v>2</v>
      </c>
      <c r="V7" s="219">
        <f t="shared" ref="V7:V12" si="4">C7/$C$13</f>
        <v>0.1261393799867031</v>
      </c>
    </row>
    <row r="8" spans="1:22" x14ac:dyDescent="0.25">
      <c r="A8" s="8" t="s">
        <v>3</v>
      </c>
      <c r="B8" s="8" t="s">
        <v>48</v>
      </c>
      <c r="C8" s="199">
        <f t="shared" si="3"/>
        <v>9010453</v>
      </c>
      <c r="D8" s="200">
        <v>0</v>
      </c>
      <c r="E8" s="200">
        <f>3614124+130181</f>
        <v>3744305</v>
      </c>
      <c r="F8" s="200">
        <v>340394</v>
      </c>
      <c r="G8" s="200">
        <v>1581930</v>
      </c>
      <c r="H8" s="570">
        <f>17914+44750</f>
        <v>62664</v>
      </c>
      <c r="I8" s="570">
        <v>23343</v>
      </c>
      <c r="J8" s="200">
        <v>0</v>
      </c>
      <c r="K8" s="200">
        <f>1674000+55233</f>
        <v>1729233</v>
      </c>
      <c r="L8" s="200">
        <v>0</v>
      </c>
      <c r="M8" s="200">
        <v>0</v>
      </c>
      <c r="N8" s="200">
        <v>0</v>
      </c>
      <c r="O8" s="200">
        <v>0</v>
      </c>
      <c r="P8" s="200">
        <v>0</v>
      </c>
      <c r="Q8" s="200">
        <v>790500</v>
      </c>
      <c r="R8" s="200">
        <v>0</v>
      </c>
      <c r="S8" s="201">
        <v>738084</v>
      </c>
      <c r="U8" s="8" t="s">
        <v>48</v>
      </c>
      <c r="V8" s="219">
        <f t="shared" si="4"/>
        <v>0.48345982514013863</v>
      </c>
    </row>
    <row r="9" spans="1:22" x14ac:dyDescent="0.25">
      <c r="A9" s="8"/>
      <c r="B9" s="8" t="s">
        <v>820</v>
      </c>
      <c r="C9" s="199">
        <f t="shared" si="3"/>
        <v>715722</v>
      </c>
      <c r="D9" s="200">
        <v>140600</v>
      </c>
      <c r="E9" s="200">
        <v>0</v>
      </c>
      <c r="F9" s="200">
        <v>179265</v>
      </c>
      <c r="G9" s="200">
        <v>0</v>
      </c>
      <c r="H9" s="570">
        <v>950</v>
      </c>
      <c r="I9" s="570">
        <f>3801</f>
        <v>3801</v>
      </c>
      <c r="J9" s="200">
        <v>0</v>
      </c>
      <c r="K9" s="200">
        <v>0</v>
      </c>
      <c r="L9" s="200">
        <v>0</v>
      </c>
      <c r="M9" s="200">
        <v>62748</v>
      </c>
      <c r="N9" s="200">
        <v>321708</v>
      </c>
      <c r="O9" s="200">
        <v>6650</v>
      </c>
      <c r="P9" s="200">
        <v>0</v>
      </c>
      <c r="Q9" s="200">
        <v>0</v>
      </c>
      <c r="R9" s="200">
        <v>0</v>
      </c>
      <c r="S9" s="201">
        <v>0</v>
      </c>
      <c r="U9" s="8" t="s">
        <v>820</v>
      </c>
      <c r="V9" s="219">
        <f t="shared" si="4"/>
        <v>3.8402379211006407E-2</v>
      </c>
    </row>
    <row r="10" spans="1:22" x14ac:dyDescent="0.25">
      <c r="A10" s="8" t="s">
        <v>5</v>
      </c>
      <c r="B10" s="8" t="s">
        <v>5</v>
      </c>
      <c r="C10" s="199">
        <f t="shared" si="3"/>
        <v>412089</v>
      </c>
      <c r="D10" s="202">
        <v>50550</v>
      </c>
      <c r="E10" s="202">
        <v>225000</v>
      </c>
      <c r="F10" s="202">
        <v>0</v>
      </c>
      <c r="G10" s="202">
        <v>15000</v>
      </c>
      <c r="H10" s="543">
        <v>0</v>
      </c>
      <c r="I10" s="543">
        <v>1040</v>
      </c>
      <c r="J10" s="202">
        <v>0</v>
      </c>
      <c r="K10" s="202">
        <v>23310</v>
      </c>
      <c r="L10" s="202">
        <v>0</v>
      </c>
      <c r="M10" s="202">
        <v>0</v>
      </c>
      <c r="N10" s="202">
        <v>0</v>
      </c>
      <c r="O10" s="202">
        <v>0</v>
      </c>
      <c r="P10" s="202">
        <v>0</v>
      </c>
      <c r="Q10" s="202">
        <v>829</v>
      </c>
      <c r="R10" s="202">
        <v>47920</v>
      </c>
      <c r="S10" s="201">
        <v>48440</v>
      </c>
      <c r="U10" s="8" t="s">
        <v>5</v>
      </c>
      <c r="V10" s="219">
        <f t="shared" si="4"/>
        <v>2.2110816834866636E-2</v>
      </c>
    </row>
    <row r="11" spans="1:22" x14ac:dyDescent="0.25">
      <c r="A11" s="728" t="s">
        <v>7</v>
      </c>
      <c r="B11" s="8" t="s">
        <v>42</v>
      </c>
      <c r="C11" s="199">
        <f t="shared" si="3"/>
        <v>83732</v>
      </c>
      <c r="D11" s="202">
        <v>90</v>
      </c>
      <c r="E11" s="202">
        <v>150</v>
      </c>
      <c r="F11" s="202">
        <v>90</v>
      </c>
      <c r="G11" s="202">
        <v>150</v>
      </c>
      <c r="H11" s="543">
        <v>180</v>
      </c>
      <c r="I11" s="543">
        <v>120</v>
      </c>
      <c r="J11" s="202">
        <v>0</v>
      </c>
      <c r="K11" s="202">
        <v>120</v>
      </c>
      <c r="L11" s="202">
        <f t="shared" ref="L11:P11" si="5">K11</f>
        <v>120</v>
      </c>
      <c r="M11" s="202">
        <f t="shared" si="5"/>
        <v>120</v>
      </c>
      <c r="N11" s="202">
        <f t="shared" si="5"/>
        <v>120</v>
      </c>
      <c r="O11" s="202">
        <f t="shared" si="5"/>
        <v>120</v>
      </c>
      <c r="P11" s="202">
        <f t="shared" si="5"/>
        <v>120</v>
      </c>
      <c r="Q11" s="202">
        <v>0</v>
      </c>
      <c r="R11" s="202">
        <v>60</v>
      </c>
      <c r="S11" s="201">
        <f>7350+73262+180+180+1200</f>
        <v>82172</v>
      </c>
      <c r="U11" s="8" t="s">
        <v>19</v>
      </c>
      <c r="V11" s="219">
        <f t="shared" si="4"/>
        <v>4.4926773469251861E-3</v>
      </c>
    </row>
    <row r="12" spans="1:22" x14ac:dyDescent="0.25">
      <c r="A12" s="729"/>
      <c r="B12" s="8" t="s">
        <v>51</v>
      </c>
      <c r="C12" s="199">
        <f t="shared" si="3"/>
        <v>950000</v>
      </c>
      <c r="D12" s="202">
        <v>0</v>
      </c>
      <c r="E12" s="202">
        <v>0</v>
      </c>
      <c r="F12" s="202">
        <v>0</v>
      </c>
      <c r="G12" s="202">
        <v>0</v>
      </c>
      <c r="H12" s="543">
        <v>0</v>
      </c>
      <c r="I12" s="543">
        <v>0</v>
      </c>
      <c r="J12" s="202">
        <v>0</v>
      </c>
      <c r="K12" s="202">
        <v>0</v>
      </c>
      <c r="L12" s="202">
        <v>0</v>
      </c>
      <c r="M12" s="202">
        <v>0</v>
      </c>
      <c r="N12" s="202">
        <v>0</v>
      </c>
      <c r="O12" s="202">
        <v>0</v>
      </c>
      <c r="P12" s="202">
        <v>50000</v>
      </c>
      <c r="Q12" s="202">
        <v>0</v>
      </c>
      <c r="R12" s="202">
        <v>0</v>
      </c>
      <c r="S12" s="201">
        <v>900000</v>
      </c>
      <c r="U12" s="8" t="s">
        <v>51</v>
      </c>
      <c r="V12" s="219">
        <f t="shared" si="4"/>
        <v>5.0972668508801021E-2</v>
      </c>
    </row>
    <row r="13" spans="1:22" s="21" customFormat="1" ht="18.75" x14ac:dyDescent="0.3">
      <c r="A13" s="19" t="s">
        <v>14</v>
      </c>
      <c r="B13" s="20"/>
      <c r="C13" s="203">
        <f t="shared" si="3"/>
        <v>18637439</v>
      </c>
      <c r="D13" s="204">
        <f t="shared" ref="D13:I13" si="6">SUM(D6:D12)</f>
        <v>354241</v>
      </c>
      <c r="E13" s="204">
        <f t="shared" si="6"/>
        <v>4160915</v>
      </c>
      <c r="F13" s="204">
        <f t="shared" si="6"/>
        <v>1232962</v>
      </c>
      <c r="G13" s="204">
        <f>G12+G11+G10+G9+G8+G7+G6</f>
        <v>1792772</v>
      </c>
      <c r="H13" s="204">
        <f t="shared" si="6"/>
        <v>830689</v>
      </c>
      <c r="I13" s="204">
        <f t="shared" si="6"/>
        <v>229944</v>
      </c>
      <c r="J13" s="204">
        <f t="shared" ref="J13:S13" si="7">SUM(J6:J12)</f>
        <v>731186</v>
      </c>
      <c r="K13" s="204">
        <f t="shared" si="7"/>
        <v>1960099</v>
      </c>
      <c r="L13" s="204">
        <f t="shared" si="7"/>
        <v>790615</v>
      </c>
      <c r="M13" s="204">
        <f t="shared" si="7"/>
        <v>316550</v>
      </c>
      <c r="N13" s="204">
        <f t="shared" si="7"/>
        <v>1139205</v>
      </c>
      <c r="O13" s="204">
        <f t="shared" si="7"/>
        <v>318703</v>
      </c>
      <c r="P13" s="204">
        <f t="shared" si="7"/>
        <v>924448</v>
      </c>
      <c r="Q13" s="204">
        <f t="shared" si="7"/>
        <v>951614</v>
      </c>
      <c r="R13" s="204">
        <f t="shared" si="7"/>
        <v>754540</v>
      </c>
      <c r="S13" s="205">
        <f t="shared" si="7"/>
        <v>2148956</v>
      </c>
      <c r="V13" s="222">
        <f>SUM(V6:V12)</f>
        <v>0.99999999999999989</v>
      </c>
    </row>
    <row r="14" spans="1:22" ht="18.75" x14ac:dyDescent="0.3">
      <c r="A14" s="22" t="s">
        <v>1</v>
      </c>
      <c r="B14" s="23" t="str">
        <f>A14</f>
        <v>Sueldos</v>
      </c>
      <c r="C14" s="206">
        <f t="shared" si="3"/>
        <v>5543488</v>
      </c>
      <c r="D14" s="207">
        <v>334524</v>
      </c>
      <c r="E14" s="207">
        <v>334260</v>
      </c>
      <c r="F14" s="207">
        <v>321693</v>
      </c>
      <c r="G14" s="207">
        <v>316522</v>
      </c>
      <c r="H14" s="569">
        <v>305000</v>
      </c>
      <c r="I14" s="569">
        <f>325000-2023</f>
        <v>322977</v>
      </c>
      <c r="J14" s="207">
        <v>333446</v>
      </c>
      <c r="K14" s="207">
        <v>333446</v>
      </c>
      <c r="L14" s="207">
        <v>341834</v>
      </c>
      <c r="M14" s="207">
        <v>356892</v>
      </c>
      <c r="N14" s="207">
        <v>356606</v>
      </c>
      <c r="O14" s="207">
        <v>339326</v>
      </c>
      <c r="P14" s="207">
        <v>337606</v>
      </c>
      <c r="Q14" s="207">
        <v>381250</v>
      </c>
      <c r="R14" s="207">
        <f>410826+46</f>
        <v>410872</v>
      </c>
      <c r="S14" s="542">
        <v>417234</v>
      </c>
      <c r="U14" s="744">
        <f>C13</f>
        <v>18637439</v>
      </c>
      <c r="V14" s="745"/>
    </row>
    <row r="15" spans="1:22" x14ac:dyDescent="0.25">
      <c r="A15" s="22" t="s">
        <v>29</v>
      </c>
      <c r="B15" s="23" t="str">
        <f>A15</f>
        <v xml:space="preserve">Mantenimiento </v>
      </c>
      <c r="C15" s="206">
        <f t="shared" si="3"/>
        <v>577344</v>
      </c>
      <c r="D15" s="207">
        <f>EconomiaT44!S15</f>
        <v>36084</v>
      </c>
      <c r="E15" s="207">
        <v>36084</v>
      </c>
      <c r="F15" s="207">
        <f>E15</f>
        <v>36084</v>
      </c>
      <c r="G15" s="207">
        <f>F15</f>
        <v>36084</v>
      </c>
      <c r="H15" s="541">
        <f>G15</f>
        <v>36084</v>
      </c>
      <c r="I15" s="541">
        <f>H15</f>
        <v>36084</v>
      </c>
      <c r="J15" s="207">
        <f>I15</f>
        <v>36084</v>
      </c>
      <c r="K15" s="207">
        <v>36084</v>
      </c>
      <c r="L15" s="207">
        <f>K15</f>
        <v>36084</v>
      </c>
      <c r="M15" s="207">
        <f t="shared" ref="M15:Q15" si="8">L15</f>
        <v>36084</v>
      </c>
      <c r="N15" s="207">
        <f t="shared" si="8"/>
        <v>36084</v>
      </c>
      <c r="O15" s="207">
        <f t="shared" si="8"/>
        <v>36084</v>
      </c>
      <c r="P15" s="207">
        <f t="shared" si="8"/>
        <v>36084</v>
      </c>
      <c r="Q15" s="207">
        <f t="shared" si="8"/>
        <v>36084</v>
      </c>
      <c r="R15" s="207">
        <f t="shared" ref="R15" si="9">Q15</f>
        <v>36084</v>
      </c>
      <c r="S15" s="201">
        <f t="shared" ref="S15" si="10">R15</f>
        <v>36084</v>
      </c>
    </row>
    <row r="16" spans="1:22" x14ac:dyDescent="0.25">
      <c r="A16" s="22" t="s">
        <v>4</v>
      </c>
      <c r="B16" s="23" t="s">
        <v>30</v>
      </c>
      <c r="C16" s="206">
        <f t="shared" si="3"/>
        <v>541585</v>
      </c>
      <c r="D16" s="207">
        <v>0</v>
      </c>
      <c r="E16" s="207">
        <v>0</v>
      </c>
      <c r="F16" s="207">
        <v>0</v>
      </c>
      <c r="G16" s="207">
        <v>0</v>
      </c>
      <c r="H16" s="541">
        <v>0</v>
      </c>
      <c r="I16" s="541">
        <v>0</v>
      </c>
      <c r="J16" s="207">
        <v>0</v>
      </c>
      <c r="K16" s="207">
        <v>0</v>
      </c>
      <c r="L16" s="207">
        <v>0</v>
      </c>
      <c r="M16" s="207">
        <v>0</v>
      </c>
      <c r="N16" s="207">
        <v>0</v>
      </c>
      <c r="O16" s="207">
        <v>0</v>
      </c>
      <c r="P16" s="207">
        <v>0</v>
      </c>
      <c r="Q16" s="207">
        <v>0</v>
      </c>
      <c r="R16" s="207">
        <v>0</v>
      </c>
      <c r="S16" s="201">
        <v>541585</v>
      </c>
    </row>
    <row r="17" spans="1:22" x14ac:dyDescent="0.25">
      <c r="A17" s="22" t="s">
        <v>6</v>
      </c>
      <c r="B17" s="23" t="str">
        <f>A17</f>
        <v>Empleados</v>
      </c>
      <c r="C17" s="206">
        <f t="shared" si="3"/>
        <v>960000</v>
      </c>
      <c r="D17" s="207">
        <f>EconomiaT44!S17</f>
        <v>60000</v>
      </c>
      <c r="E17" s="207">
        <f>12000*5</f>
        <v>60000</v>
      </c>
      <c r="F17" s="207">
        <f t="shared" ref="F17:S17" si="11">12000*5</f>
        <v>60000</v>
      </c>
      <c r="G17" s="207">
        <f t="shared" si="11"/>
        <v>60000</v>
      </c>
      <c r="H17" s="541">
        <f t="shared" si="11"/>
        <v>60000</v>
      </c>
      <c r="I17" s="541">
        <f t="shared" si="11"/>
        <v>60000</v>
      </c>
      <c r="J17" s="207">
        <f t="shared" si="11"/>
        <v>60000</v>
      </c>
      <c r="K17" s="207">
        <f t="shared" si="11"/>
        <v>60000</v>
      </c>
      <c r="L17" s="207">
        <f t="shared" si="11"/>
        <v>60000</v>
      </c>
      <c r="M17" s="207">
        <f t="shared" si="11"/>
        <v>60000</v>
      </c>
      <c r="N17" s="207">
        <f t="shared" si="11"/>
        <v>60000</v>
      </c>
      <c r="O17" s="207">
        <f t="shared" si="11"/>
        <v>60000</v>
      </c>
      <c r="P17" s="207">
        <f t="shared" si="11"/>
        <v>60000</v>
      </c>
      <c r="Q17" s="207">
        <f t="shared" si="11"/>
        <v>60000</v>
      </c>
      <c r="R17" s="207">
        <f t="shared" si="11"/>
        <v>60000</v>
      </c>
      <c r="S17" s="201">
        <f t="shared" si="11"/>
        <v>60000</v>
      </c>
    </row>
    <row r="18" spans="1:22" x14ac:dyDescent="0.25">
      <c r="A18" s="22" t="s">
        <v>8</v>
      </c>
      <c r="B18" s="23" t="str">
        <f>A18</f>
        <v>Juveniles</v>
      </c>
      <c r="C18" s="206">
        <f t="shared" si="3"/>
        <v>320000</v>
      </c>
      <c r="D18" s="207">
        <v>20000</v>
      </c>
      <c r="E18" s="207">
        <f>D18</f>
        <v>20000</v>
      </c>
      <c r="F18" s="207">
        <f t="shared" ref="F18:S18" si="12">E18</f>
        <v>20000</v>
      </c>
      <c r="G18" s="207">
        <f t="shared" si="12"/>
        <v>20000</v>
      </c>
      <c r="H18" s="541">
        <f t="shared" si="12"/>
        <v>20000</v>
      </c>
      <c r="I18" s="541">
        <f t="shared" si="12"/>
        <v>20000</v>
      </c>
      <c r="J18" s="207">
        <f t="shared" si="12"/>
        <v>20000</v>
      </c>
      <c r="K18" s="207">
        <f t="shared" si="12"/>
        <v>20000</v>
      </c>
      <c r="L18" s="207">
        <f t="shared" si="12"/>
        <v>20000</v>
      </c>
      <c r="M18" s="207">
        <f t="shared" si="12"/>
        <v>20000</v>
      </c>
      <c r="N18" s="207">
        <f t="shared" si="12"/>
        <v>20000</v>
      </c>
      <c r="O18" s="207">
        <f t="shared" si="12"/>
        <v>20000</v>
      </c>
      <c r="P18" s="207">
        <f t="shared" si="12"/>
        <v>20000</v>
      </c>
      <c r="Q18" s="207">
        <f t="shared" si="12"/>
        <v>20000</v>
      </c>
      <c r="R18" s="207">
        <f t="shared" si="12"/>
        <v>20000</v>
      </c>
      <c r="S18" s="201">
        <f t="shared" si="12"/>
        <v>20000</v>
      </c>
    </row>
    <row r="19" spans="1:22" x14ac:dyDescent="0.25">
      <c r="A19" s="22" t="s">
        <v>9</v>
      </c>
      <c r="B19" s="23" t="s">
        <v>50</v>
      </c>
      <c r="C19" s="206">
        <f t="shared" si="3"/>
        <v>10131467</v>
      </c>
      <c r="D19" s="207">
        <v>0</v>
      </c>
      <c r="E19" s="207">
        <f>1699999+4836</f>
        <v>1704835</v>
      </c>
      <c r="F19" s="207">
        <v>0</v>
      </c>
      <c r="G19" s="207">
        <v>4639584</v>
      </c>
      <c r="H19" s="541">
        <v>0</v>
      </c>
      <c r="I19" s="541">
        <v>0</v>
      </c>
      <c r="J19" s="207">
        <v>0</v>
      </c>
      <c r="K19" s="207">
        <v>1329024</v>
      </c>
      <c r="L19" s="207">
        <v>1289748</v>
      </c>
      <c r="M19" s="207">
        <v>0</v>
      </c>
      <c r="N19" s="207">
        <v>0</v>
      </c>
      <c r="O19" s="207">
        <v>0</v>
      </c>
      <c r="P19" s="207">
        <v>288444</v>
      </c>
      <c r="Q19" s="207">
        <v>282468</v>
      </c>
      <c r="R19" s="207">
        <f>80408</f>
        <v>80408</v>
      </c>
      <c r="S19" s="201">
        <v>516956</v>
      </c>
    </row>
    <row r="20" spans="1:22" x14ac:dyDescent="0.25">
      <c r="A20" s="763" t="s">
        <v>7</v>
      </c>
      <c r="B20" s="23" t="s">
        <v>11</v>
      </c>
      <c r="C20" s="206">
        <f t="shared" si="3"/>
        <v>0</v>
      </c>
      <c r="D20" s="207">
        <v>0</v>
      </c>
      <c r="E20" s="207">
        <v>0</v>
      </c>
      <c r="F20" s="207">
        <v>0</v>
      </c>
      <c r="G20" s="207">
        <v>0</v>
      </c>
      <c r="H20" s="541">
        <v>0</v>
      </c>
      <c r="I20" s="541">
        <v>0</v>
      </c>
      <c r="J20" s="207">
        <v>0</v>
      </c>
      <c r="K20" s="207">
        <v>0</v>
      </c>
      <c r="L20" s="207">
        <v>0</v>
      </c>
      <c r="M20" s="207">
        <v>0</v>
      </c>
      <c r="N20" s="207">
        <v>0</v>
      </c>
      <c r="O20" s="207">
        <v>0</v>
      </c>
      <c r="P20" s="207">
        <v>0</v>
      </c>
      <c r="Q20" s="207">
        <v>0</v>
      </c>
      <c r="R20" s="207">
        <v>0</v>
      </c>
      <c r="S20" s="201">
        <v>0</v>
      </c>
    </row>
    <row r="21" spans="1:22" x14ac:dyDescent="0.25">
      <c r="A21" s="764"/>
      <c r="B21" s="23" t="s">
        <v>818</v>
      </c>
      <c r="C21" s="206">
        <f t="shared" si="3"/>
        <v>131000</v>
      </c>
      <c r="D21" s="207">
        <v>21000</v>
      </c>
      <c r="E21" s="207">
        <v>7000</v>
      </c>
      <c r="F21" s="207">
        <v>10000</v>
      </c>
      <c r="G21" s="207">
        <v>10000</v>
      </c>
      <c r="H21" s="541">
        <v>4000</v>
      </c>
      <c r="I21" s="541">
        <v>6000</v>
      </c>
      <c r="J21" s="207">
        <v>4000</v>
      </c>
      <c r="K21" s="207">
        <v>5000</v>
      </c>
      <c r="L21" s="207">
        <v>7000</v>
      </c>
      <c r="M21" s="207">
        <v>5000</v>
      </c>
      <c r="N21" s="207">
        <v>6000</v>
      </c>
      <c r="O21" s="207">
        <v>5000</v>
      </c>
      <c r="P21" s="207">
        <v>16000</v>
      </c>
      <c r="Q21" s="207">
        <v>0</v>
      </c>
      <c r="R21" s="207">
        <v>15000</v>
      </c>
      <c r="S21" s="542">
        <v>10000</v>
      </c>
    </row>
    <row r="22" spans="1:22" x14ac:dyDescent="0.25">
      <c r="A22" s="22" t="s">
        <v>10</v>
      </c>
      <c r="B22" s="23" t="str">
        <f>A22</f>
        <v>Intereses</v>
      </c>
      <c r="C22" s="206">
        <f t="shared" si="3"/>
        <v>0</v>
      </c>
      <c r="D22" s="207">
        <v>0</v>
      </c>
      <c r="E22" s="207">
        <f>D22</f>
        <v>0</v>
      </c>
      <c r="F22" s="207">
        <f t="shared" ref="F22:S22" si="13">E22</f>
        <v>0</v>
      </c>
      <c r="G22" s="207">
        <f t="shared" si="13"/>
        <v>0</v>
      </c>
      <c r="H22" s="541">
        <f t="shared" si="13"/>
        <v>0</v>
      </c>
      <c r="I22" s="541">
        <f t="shared" si="13"/>
        <v>0</v>
      </c>
      <c r="J22" s="207">
        <f t="shared" si="13"/>
        <v>0</v>
      </c>
      <c r="K22" s="207">
        <f t="shared" si="13"/>
        <v>0</v>
      </c>
      <c r="L22" s="207">
        <f t="shared" si="13"/>
        <v>0</v>
      </c>
      <c r="M22" s="207">
        <f t="shared" si="13"/>
        <v>0</v>
      </c>
      <c r="N22" s="207">
        <f t="shared" si="13"/>
        <v>0</v>
      </c>
      <c r="O22" s="207">
        <f t="shared" si="13"/>
        <v>0</v>
      </c>
      <c r="P22" s="207">
        <f t="shared" si="13"/>
        <v>0</v>
      </c>
      <c r="Q22" s="207">
        <f t="shared" si="13"/>
        <v>0</v>
      </c>
      <c r="R22" s="207">
        <f t="shared" si="13"/>
        <v>0</v>
      </c>
      <c r="S22" s="201">
        <f t="shared" si="13"/>
        <v>0</v>
      </c>
    </row>
    <row r="23" spans="1:22" s="31" customFormat="1" ht="18.75" x14ac:dyDescent="0.3">
      <c r="A23" s="25" t="s">
        <v>15</v>
      </c>
      <c r="B23" s="26"/>
      <c r="C23" s="209">
        <f t="shared" si="3"/>
        <v>18204884</v>
      </c>
      <c r="D23" s="210">
        <f t="shared" ref="D23:S23" si="14">SUM(D14:D22)</f>
        <v>471608</v>
      </c>
      <c r="E23" s="210">
        <f t="shared" si="14"/>
        <v>2162179</v>
      </c>
      <c r="F23" s="210">
        <f t="shared" si="14"/>
        <v>447777</v>
      </c>
      <c r="G23" s="210">
        <f t="shared" si="14"/>
        <v>5082190</v>
      </c>
      <c r="H23" s="210">
        <f t="shared" si="14"/>
        <v>425084</v>
      </c>
      <c r="I23" s="210">
        <f t="shared" si="14"/>
        <v>445061</v>
      </c>
      <c r="J23" s="210">
        <f t="shared" si="14"/>
        <v>453530</v>
      </c>
      <c r="K23" s="210">
        <f t="shared" si="14"/>
        <v>1783554</v>
      </c>
      <c r="L23" s="210">
        <f t="shared" si="14"/>
        <v>1754666</v>
      </c>
      <c r="M23" s="210">
        <f t="shared" si="14"/>
        <v>477976</v>
      </c>
      <c r="N23" s="210">
        <f t="shared" si="14"/>
        <v>478690</v>
      </c>
      <c r="O23" s="210">
        <f t="shared" si="14"/>
        <v>460410</v>
      </c>
      <c r="P23" s="210">
        <f t="shared" si="14"/>
        <v>758134</v>
      </c>
      <c r="Q23" s="210">
        <f t="shared" si="14"/>
        <v>779802</v>
      </c>
      <c r="R23" s="210">
        <f t="shared" si="14"/>
        <v>622364</v>
      </c>
      <c r="S23" s="211">
        <f t="shared" si="14"/>
        <v>1601859</v>
      </c>
      <c r="U23" s="23" t="s">
        <v>1</v>
      </c>
      <c r="V23" s="220">
        <f>C14/$C$23</f>
        <v>0.30450553818414883</v>
      </c>
    </row>
    <row r="24" spans="1:22" s="7" customFormat="1" ht="18.75" x14ac:dyDescent="0.3">
      <c r="A24" s="9" t="s">
        <v>20</v>
      </c>
      <c r="B24" s="9"/>
      <c r="C24" s="197">
        <f>C5+C13-C23</f>
        <v>2365913</v>
      </c>
      <c r="D24" s="197">
        <f t="shared" ref="D24:S24" si="15">D5+D13-D23</f>
        <v>1815991</v>
      </c>
      <c r="E24" s="197">
        <f t="shared" si="15"/>
        <v>3814727</v>
      </c>
      <c r="F24" s="197">
        <f t="shared" si="15"/>
        <v>4599912</v>
      </c>
      <c r="G24" s="197">
        <f t="shared" si="15"/>
        <v>1310494</v>
      </c>
      <c r="H24" s="197">
        <f t="shared" si="15"/>
        <v>1716099</v>
      </c>
      <c r="I24" s="197">
        <f t="shared" si="15"/>
        <v>1500982</v>
      </c>
      <c r="J24" s="197">
        <f t="shared" si="15"/>
        <v>1778638</v>
      </c>
      <c r="K24" s="197">
        <f t="shared" si="15"/>
        <v>1955183</v>
      </c>
      <c r="L24" s="197">
        <f t="shared" si="15"/>
        <v>991132</v>
      </c>
      <c r="M24" s="197">
        <f t="shared" si="15"/>
        <v>829706</v>
      </c>
      <c r="N24" s="197">
        <f t="shared" si="15"/>
        <v>1490221</v>
      </c>
      <c r="O24" s="197">
        <f t="shared" si="15"/>
        <v>1348514</v>
      </c>
      <c r="P24" s="197">
        <f t="shared" si="15"/>
        <v>1514828</v>
      </c>
      <c r="Q24" s="197">
        <f t="shared" si="15"/>
        <v>1686640</v>
      </c>
      <c r="R24" s="197">
        <f t="shared" si="15"/>
        <v>1818816</v>
      </c>
      <c r="S24" s="198">
        <f t="shared" si="15"/>
        <v>2365913</v>
      </c>
      <c r="U24" s="23" t="s">
        <v>29</v>
      </c>
      <c r="V24" s="220">
        <f t="shared" ref="V24:V31" si="16">C15/$C$23</f>
        <v>3.1713687381913554E-2</v>
      </c>
    </row>
    <row r="25" spans="1:22" s="178" customFormat="1" x14ac:dyDescent="0.25">
      <c r="A25" s="182"/>
      <c r="B25" s="182"/>
      <c r="C25" s="182"/>
      <c r="D25" s="183">
        <f>D2+6</f>
        <v>41971</v>
      </c>
      <c r="E25" s="183">
        <f>D25+7</f>
        <v>41978</v>
      </c>
      <c r="F25" s="183">
        <f t="shared" ref="F25:S25" si="17">E25+7</f>
        <v>41985</v>
      </c>
      <c r="G25" s="183">
        <f t="shared" si="17"/>
        <v>41992</v>
      </c>
      <c r="H25" s="183">
        <f t="shared" si="17"/>
        <v>41999</v>
      </c>
      <c r="I25" s="183">
        <f t="shared" si="17"/>
        <v>42006</v>
      </c>
      <c r="J25" s="183">
        <f t="shared" si="17"/>
        <v>42013</v>
      </c>
      <c r="K25" s="183">
        <f t="shared" si="17"/>
        <v>42020</v>
      </c>
      <c r="L25" s="183">
        <f t="shared" si="17"/>
        <v>42027</v>
      </c>
      <c r="M25" s="183">
        <f t="shared" si="17"/>
        <v>42034</v>
      </c>
      <c r="N25" s="183">
        <f t="shared" si="17"/>
        <v>42041</v>
      </c>
      <c r="O25" s="183">
        <f t="shared" si="17"/>
        <v>42048</v>
      </c>
      <c r="P25" s="183">
        <f t="shared" si="17"/>
        <v>42055</v>
      </c>
      <c r="Q25" s="183">
        <f t="shared" si="17"/>
        <v>42062</v>
      </c>
      <c r="R25" s="183">
        <f t="shared" si="17"/>
        <v>42069</v>
      </c>
      <c r="S25" s="184">
        <f t="shared" si="17"/>
        <v>42076</v>
      </c>
      <c r="U25" s="23" t="s">
        <v>30</v>
      </c>
      <c r="V25" s="220">
        <f t="shared" si="16"/>
        <v>2.9749434272692978E-2</v>
      </c>
    </row>
    <row r="26" spans="1:22" s="178" customFormat="1" x14ac:dyDescent="0.25">
      <c r="A26" s="768" t="s">
        <v>721</v>
      </c>
      <c r="B26" s="768"/>
      <c r="C26" s="768"/>
      <c r="D26" s="559">
        <v>1577550</v>
      </c>
      <c r="E26" s="559">
        <v>1521810</v>
      </c>
      <c r="F26" s="559">
        <v>1443520</v>
      </c>
      <c r="G26" s="559">
        <v>1345380</v>
      </c>
      <c r="H26" s="559"/>
      <c r="I26" s="559"/>
      <c r="J26" s="559"/>
      <c r="K26" s="559">
        <v>1541360</v>
      </c>
      <c r="L26" s="559">
        <v>1569730</v>
      </c>
      <c r="M26" s="559">
        <v>1656000</v>
      </c>
      <c r="N26" s="559"/>
      <c r="O26" s="559">
        <v>1567200</v>
      </c>
      <c r="P26" s="559">
        <v>1560020</v>
      </c>
      <c r="Q26" s="559">
        <v>1546400</v>
      </c>
      <c r="R26" s="559">
        <v>1709820</v>
      </c>
      <c r="S26" s="559"/>
      <c r="T26" s="194"/>
      <c r="U26" s="23" t="s">
        <v>6</v>
      </c>
      <c r="V26" s="220">
        <f t="shared" si="16"/>
        <v>5.2733101732480143E-2</v>
      </c>
    </row>
    <row r="27" spans="1:22" s="178" customFormat="1" x14ac:dyDescent="0.25">
      <c r="A27" s="769" t="s">
        <v>1212</v>
      </c>
      <c r="B27" s="769"/>
      <c r="C27" s="769"/>
      <c r="D27" s="560">
        <v>334224</v>
      </c>
      <c r="E27" s="560">
        <v>321490</v>
      </c>
      <c r="F27" s="560">
        <v>316572</v>
      </c>
      <c r="G27" s="560">
        <v>274306</v>
      </c>
      <c r="H27" s="560"/>
      <c r="I27" s="560"/>
      <c r="J27" s="560"/>
      <c r="K27" s="560">
        <v>341904</v>
      </c>
      <c r="L27" s="560">
        <v>341534</v>
      </c>
      <c r="M27" s="560">
        <v>356306</v>
      </c>
      <c r="N27" s="560"/>
      <c r="O27" s="560">
        <v>337306</v>
      </c>
      <c r="P27" s="560">
        <v>337306</v>
      </c>
      <c r="Q27" s="560">
        <v>362878</v>
      </c>
      <c r="R27" s="560">
        <v>410526</v>
      </c>
      <c r="S27" s="560"/>
      <c r="T27" s="195"/>
      <c r="U27" s="23" t="s">
        <v>8</v>
      </c>
      <c r="V27" s="220">
        <f t="shared" si="16"/>
        <v>1.7577700577493381E-2</v>
      </c>
    </row>
    <row r="28" spans="1:22" x14ac:dyDescent="0.25">
      <c r="A28" s="770" t="s">
        <v>1985</v>
      </c>
      <c r="B28" s="770"/>
      <c r="C28" s="770"/>
      <c r="D28" s="561">
        <v>1287660</v>
      </c>
      <c r="E28" s="561">
        <v>1275150</v>
      </c>
      <c r="F28" s="561">
        <v>1213740</v>
      </c>
      <c r="G28" s="561">
        <v>1219680</v>
      </c>
      <c r="H28" s="561"/>
      <c r="I28" s="561"/>
      <c r="J28" s="561"/>
      <c r="K28" s="561">
        <v>1278190</v>
      </c>
      <c r="L28" s="561">
        <v>1303250</v>
      </c>
      <c r="M28" s="561">
        <v>1305540</v>
      </c>
      <c r="N28" s="561"/>
      <c r="O28" s="561">
        <v>1233140</v>
      </c>
      <c r="P28" s="561">
        <v>1235070</v>
      </c>
      <c r="Q28" s="561">
        <v>1242840</v>
      </c>
      <c r="R28" s="561">
        <v>1316900</v>
      </c>
      <c r="S28" s="561"/>
      <c r="T28" s="192"/>
      <c r="U28" s="23" t="s">
        <v>50</v>
      </c>
      <c r="V28" s="220">
        <f t="shared" si="16"/>
        <v>0.55652466667735978</v>
      </c>
    </row>
    <row r="29" spans="1:22" x14ac:dyDescent="0.25">
      <c r="A29" s="768" t="s">
        <v>1986</v>
      </c>
      <c r="B29" s="768"/>
      <c r="C29" s="768"/>
      <c r="D29" s="562">
        <v>250102</v>
      </c>
      <c r="E29" s="562">
        <v>249838</v>
      </c>
      <c r="F29" s="562">
        <v>247882</v>
      </c>
      <c r="G29" s="562">
        <v>247882</v>
      </c>
      <c r="H29" s="562"/>
      <c r="I29" s="562"/>
      <c r="J29" s="562"/>
      <c r="K29" s="562">
        <v>269818</v>
      </c>
      <c r="L29" s="562">
        <v>269818</v>
      </c>
      <c r="M29" s="562">
        <v>268546</v>
      </c>
      <c r="N29" s="562"/>
      <c r="O29" s="562">
        <v>239454</v>
      </c>
      <c r="P29" s="562">
        <v>243226</v>
      </c>
      <c r="Q29" s="562">
        <v>268798</v>
      </c>
      <c r="R29" s="562">
        <v>294066</v>
      </c>
      <c r="S29" s="562"/>
      <c r="T29" s="192"/>
      <c r="U29" s="23" t="s">
        <v>11</v>
      </c>
      <c r="V29" s="220">
        <f t="shared" si="16"/>
        <v>0</v>
      </c>
    </row>
    <row r="30" spans="1:22" s="6" customFormat="1" x14ac:dyDescent="0.25">
      <c r="A30" s="769" t="s">
        <v>1987</v>
      </c>
      <c r="B30" s="769"/>
      <c r="C30" s="769"/>
      <c r="D30" s="563">
        <v>5.75</v>
      </c>
      <c r="E30" s="563">
        <v>5.75</v>
      </c>
      <c r="F30" s="563">
        <v>5.75</v>
      </c>
      <c r="G30" s="563">
        <v>5.75</v>
      </c>
      <c r="H30" s="563"/>
      <c r="I30" s="563"/>
      <c r="J30" s="563"/>
      <c r="K30" s="563">
        <v>5.5</v>
      </c>
      <c r="L30" s="563">
        <v>5.75</v>
      </c>
      <c r="M30" s="563">
        <v>5.75</v>
      </c>
      <c r="N30" s="563"/>
      <c r="O30" s="563">
        <v>5.75</v>
      </c>
      <c r="P30" s="563">
        <v>5.75</v>
      </c>
      <c r="Q30" s="563">
        <v>5.75</v>
      </c>
      <c r="R30" s="563">
        <v>5.75</v>
      </c>
      <c r="S30" s="563"/>
      <c r="U30" s="23" t="s">
        <v>818</v>
      </c>
      <c r="V30" s="220">
        <f t="shared" si="16"/>
        <v>7.1958711739113527E-3</v>
      </c>
    </row>
    <row r="31" spans="1:22" s="6" customFormat="1" x14ac:dyDescent="0.25">
      <c r="A31" s="770" t="s">
        <v>1988</v>
      </c>
      <c r="B31" s="770"/>
      <c r="C31" s="770"/>
      <c r="D31" s="564">
        <v>6.75</v>
      </c>
      <c r="E31" s="564">
        <v>6.75</v>
      </c>
      <c r="F31" s="564">
        <v>7</v>
      </c>
      <c r="G31" s="564">
        <v>6.75</v>
      </c>
      <c r="H31" s="564"/>
      <c r="I31" s="564"/>
      <c r="J31" s="564"/>
      <c r="K31" s="564">
        <v>7</v>
      </c>
      <c r="L31" s="564">
        <v>7</v>
      </c>
      <c r="M31" s="564">
        <v>6.75</v>
      </c>
      <c r="N31" s="564"/>
      <c r="O31" s="564">
        <v>6.75</v>
      </c>
      <c r="P31" s="564">
        <v>6.75</v>
      </c>
      <c r="Q31" s="564">
        <v>6.75</v>
      </c>
      <c r="R31" s="564">
        <v>6.5</v>
      </c>
      <c r="S31" s="564"/>
      <c r="U31" s="23" t="s">
        <v>10</v>
      </c>
      <c r="V31" s="220">
        <f t="shared" si="16"/>
        <v>0</v>
      </c>
    </row>
    <row r="32" spans="1:22" s="6" customFormat="1" x14ac:dyDescent="0.25">
      <c r="A32" s="768" t="s">
        <v>1989</v>
      </c>
      <c r="B32" s="768"/>
      <c r="C32" s="768"/>
      <c r="D32" s="562" t="s">
        <v>1991</v>
      </c>
      <c r="E32" s="562" t="s">
        <v>1993</v>
      </c>
      <c r="F32" s="562" t="s">
        <v>1995</v>
      </c>
      <c r="G32" s="562" t="s">
        <v>1999</v>
      </c>
      <c r="H32" s="562"/>
      <c r="I32" s="562"/>
      <c r="J32" s="562"/>
      <c r="K32" s="562" t="s">
        <v>2027</v>
      </c>
      <c r="L32" s="562" t="s">
        <v>2029</v>
      </c>
      <c r="M32" s="562" t="s">
        <v>2033</v>
      </c>
      <c r="N32" s="562"/>
      <c r="O32" s="562" t="s">
        <v>2036</v>
      </c>
      <c r="P32" s="562" t="s">
        <v>2037</v>
      </c>
      <c r="Q32" s="562" t="s">
        <v>2039</v>
      </c>
      <c r="R32" s="562" t="s">
        <v>2042</v>
      </c>
      <c r="S32" s="562"/>
      <c r="U32" s="558"/>
      <c r="V32" s="220"/>
    </row>
    <row r="33" spans="1:22" s="6" customFormat="1" x14ac:dyDescent="0.25">
      <c r="A33" s="769" t="s">
        <v>1990</v>
      </c>
      <c r="B33" s="769"/>
      <c r="C33" s="769"/>
      <c r="D33" s="563">
        <v>6.75</v>
      </c>
      <c r="E33" s="563">
        <v>6.75</v>
      </c>
      <c r="F33" s="563">
        <v>6.75</v>
      </c>
      <c r="G33" s="563">
        <v>6.75</v>
      </c>
      <c r="H33" s="563"/>
      <c r="I33" s="563"/>
      <c r="J33" s="563"/>
      <c r="K33" s="563">
        <v>6.5</v>
      </c>
      <c r="L33" s="563">
        <v>6.5</v>
      </c>
      <c r="M33" s="563">
        <v>6.5</v>
      </c>
      <c r="N33" s="563"/>
      <c r="O33" s="563">
        <v>6.75</v>
      </c>
      <c r="P33" s="563">
        <v>6.75</v>
      </c>
      <c r="Q33" s="563">
        <v>7</v>
      </c>
      <c r="R33" s="563">
        <v>7</v>
      </c>
      <c r="S33" s="563"/>
      <c r="U33" s="558"/>
      <c r="V33" s="220"/>
    </row>
    <row r="34" spans="1:22" s="6" customFormat="1" ht="18.75" x14ac:dyDescent="0.3">
      <c r="A34" s="192"/>
      <c r="B34" s="192"/>
      <c r="C34" s="192"/>
      <c r="D34" s="192"/>
      <c r="E34" s="192"/>
      <c r="F34" s="192"/>
      <c r="G34" s="192"/>
      <c r="H34" s="192"/>
      <c r="I34" s="192"/>
      <c r="J34" s="192"/>
      <c r="K34" s="192"/>
      <c r="L34" s="192"/>
      <c r="M34" s="192"/>
      <c r="N34" s="192"/>
      <c r="O34" s="192"/>
      <c r="P34" s="192"/>
      <c r="Q34" s="192"/>
      <c r="R34" s="192"/>
      <c r="S34" s="192"/>
      <c r="V34" s="221">
        <f>SUM(V23:V31)</f>
        <v>1</v>
      </c>
    </row>
    <row r="35" spans="1:22" s="6" customFormat="1" ht="18.75" x14ac:dyDescent="0.3">
      <c r="A35" s="27"/>
      <c r="B35" s="752" t="s">
        <v>821</v>
      </c>
      <c r="C35" s="167" t="s">
        <v>819</v>
      </c>
      <c r="D35" s="189">
        <v>2181854</v>
      </c>
      <c r="E35" s="189">
        <v>2296829</v>
      </c>
      <c r="F35" s="189">
        <v>2296829</v>
      </c>
      <c r="G35" s="189">
        <v>2296829</v>
      </c>
      <c r="H35" s="189">
        <v>2296829</v>
      </c>
      <c r="I35" s="189">
        <v>2296829</v>
      </c>
      <c r="J35" s="189">
        <v>2296829</v>
      </c>
      <c r="K35" s="189">
        <v>2296829</v>
      </c>
      <c r="L35" s="189">
        <v>2296829</v>
      </c>
      <c r="M35" s="189">
        <v>2296829</v>
      </c>
      <c r="N35" s="189">
        <v>2296829</v>
      </c>
      <c r="O35" s="189">
        <v>2296829</v>
      </c>
      <c r="P35" s="189">
        <v>2296829</v>
      </c>
      <c r="Q35" s="189">
        <v>2336829</v>
      </c>
      <c r="R35" s="189">
        <v>2360829</v>
      </c>
      <c r="S35" s="565">
        <f>'A-P_T45'!$C$14</f>
        <v>2360829</v>
      </c>
      <c r="U35" s="746">
        <f>C23</f>
        <v>18204884</v>
      </c>
      <c r="V35" s="747"/>
    </row>
    <row r="36" spans="1:22" x14ac:dyDescent="0.25">
      <c r="A36" s="27"/>
      <c r="B36" s="753"/>
      <c r="C36" s="167" t="s">
        <v>481</v>
      </c>
      <c r="D36" s="189">
        <v>23951130</v>
      </c>
      <c r="E36" s="189">
        <v>23951130</v>
      </c>
      <c r="F36" s="189">
        <v>23951130</v>
      </c>
      <c r="G36" s="189">
        <v>25049626</v>
      </c>
      <c r="H36" s="189">
        <v>25049626</v>
      </c>
      <c r="I36" s="189">
        <v>25049626</v>
      </c>
      <c r="J36" s="189">
        <v>25049626</v>
      </c>
      <c r="K36" s="189">
        <v>26348626</v>
      </c>
      <c r="L36" s="189">
        <v>27623626</v>
      </c>
      <c r="M36" s="189">
        <v>27623626</v>
      </c>
      <c r="N36" s="189">
        <v>27623626</v>
      </c>
      <c r="O36" s="189">
        <v>27623626</v>
      </c>
      <c r="P36" s="189">
        <v>27868426</v>
      </c>
      <c r="Q36" s="189">
        <v>26794202</v>
      </c>
      <c r="R36" s="189">
        <v>26794202</v>
      </c>
      <c r="S36" s="565">
        <f>'A-P_T45'!$C$13</f>
        <v>26354582</v>
      </c>
    </row>
    <row r="37" spans="1:22" x14ac:dyDescent="0.25">
      <c r="A37" s="27"/>
      <c r="B37" s="753"/>
      <c r="C37" s="167" t="s">
        <v>1385</v>
      </c>
      <c r="D37" s="189">
        <v>507500</v>
      </c>
      <c r="E37" s="189">
        <v>145500</v>
      </c>
      <c r="F37" s="189">
        <v>145500</v>
      </c>
      <c r="G37" s="189">
        <v>69500</v>
      </c>
      <c r="H37" s="189">
        <v>69500</v>
      </c>
      <c r="I37" s="189">
        <v>69500</v>
      </c>
      <c r="J37" s="189">
        <v>69500</v>
      </c>
      <c r="K37" s="189">
        <v>69500</v>
      </c>
      <c r="L37" s="189">
        <v>69500</v>
      </c>
      <c r="M37" s="189">
        <v>69500</v>
      </c>
      <c r="N37" s="189">
        <v>69500</v>
      </c>
      <c r="O37" s="189">
        <v>69500</v>
      </c>
      <c r="P37" s="189">
        <v>69500</v>
      </c>
      <c r="Q37" s="189">
        <v>69500</v>
      </c>
      <c r="R37" s="189">
        <v>119500</v>
      </c>
      <c r="S37" s="565">
        <f>'A-P_T45'!$C$15</f>
        <v>627200</v>
      </c>
    </row>
    <row r="38" spans="1:22" x14ac:dyDescent="0.25">
      <c r="A38" s="27"/>
      <c r="B38" s="754"/>
      <c r="C38" s="299" t="s">
        <v>291</v>
      </c>
      <c r="D38" s="300">
        <v>26640484</v>
      </c>
      <c r="E38" s="300">
        <v>26640484</v>
      </c>
      <c r="F38" s="300">
        <v>26393459</v>
      </c>
      <c r="G38" s="300">
        <v>27415955</v>
      </c>
      <c r="H38" s="300">
        <v>27415955</v>
      </c>
      <c r="I38" s="300">
        <v>27415955</v>
      </c>
      <c r="J38" s="300">
        <v>27415955</v>
      </c>
      <c r="K38" s="300">
        <v>28714955</v>
      </c>
      <c r="L38" s="300">
        <v>29989955</v>
      </c>
      <c r="M38" s="300">
        <v>29989955</v>
      </c>
      <c r="N38" s="300">
        <v>29989955</v>
      </c>
      <c r="O38" s="300">
        <v>29989955</v>
      </c>
      <c r="P38" s="300">
        <v>30234755</v>
      </c>
      <c r="Q38" s="300">
        <v>29200531</v>
      </c>
      <c r="R38" s="300">
        <v>29274531</v>
      </c>
      <c r="S38" s="433">
        <f t="shared" ref="S38" si="18">S37+S36+S35</f>
        <v>29342611</v>
      </c>
    </row>
    <row r="39" spans="1:22" x14ac:dyDescent="0.25">
      <c r="C39" s="192"/>
      <c r="E39" s="247"/>
      <c r="F39" s="247"/>
      <c r="H39" s="247"/>
      <c r="J39"/>
      <c r="K39"/>
      <c r="L39"/>
    </row>
    <row r="40" spans="1:22" ht="15" customHeight="1" x14ac:dyDescent="0.25">
      <c r="E40"/>
      <c r="J40" s="731"/>
      <c r="K40" s="731"/>
    </row>
    <row r="41" spans="1:22" x14ac:dyDescent="0.25">
      <c r="B41" s="5"/>
      <c r="C41" s="2" t="s">
        <v>1830</v>
      </c>
      <c r="D41" s="556">
        <v>95095</v>
      </c>
      <c r="E41" s="556">
        <v>109525</v>
      </c>
      <c r="F41" s="556">
        <v>112000</v>
      </c>
      <c r="G41" s="506">
        <v>118000</v>
      </c>
      <c r="H41" s="556">
        <v>126175</v>
      </c>
      <c r="I41" s="556">
        <v>127840</v>
      </c>
      <c r="J41" s="504">
        <v>128765</v>
      </c>
      <c r="K41" s="504">
        <v>129320</v>
      </c>
      <c r="L41" s="505">
        <v>129690</v>
      </c>
      <c r="M41" s="505">
        <v>130060</v>
      </c>
      <c r="N41" s="505">
        <v>130430</v>
      </c>
      <c r="O41" s="505">
        <v>130615</v>
      </c>
      <c r="P41" s="505">
        <v>130800</v>
      </c>
      <c r="Q41" s="505">
        <v>130985</v>
      </c>
      <c r="R41" s="505">
        <v>131170</v>
      </c>
      <c r="S41" s="505">
        <v>131540</v>
      </c>
    </row>
    <row r="42" spans="1:22" x14ac:dyDescent="0.25">
      <c r="F42" s="556"/>
      <c r="G42" s="556"/>
      <c r="H42" s="556"/>
      <c r="I42" s="556"/>
      <c r="J42" s="556"/>
      <c r="K42" s="556"/>
      <c r="L42" s="556"/>
      <c r="M42" s="556"/>
      <c r="N42" s="556"/>
      <c r="O42" s="556"/>
      <c r="P42" s="556"/>
      <c r="Q42" s="556"/>
      <c r="R42" s="556"/>
      <c r="S42" s="556"/>
    </row>
    <row r="43" spans="1:22" x14ac:dyDescent="0.25">
      <c r="H43" s="557"/>
      <c r="I43" s="557"/>
      <c r="J43" s="557"/>
      <c r="K43" s="557"/>
    </row>
    <row r="44" spans="1:22" x14ac:dyDescent="0.25">
      <c r="H44" s="557"/>
      <c r="I44" s="557"/>
      <c r="J44" s="557"/>
      <c r="K44" s="557"/>
    </row>
    <row r="45" spans="1:22" x14ac:dyDescent="0.25">
      <c r="H45" s="478"/>
      <c r="I45" s="478"/>
      <c r="J45" s="557"/>
      <c r="K45" s="557"/>
    </row>
    <row r="46" spans="1:22" x14ac:dyDescent="0.25">
      <c r="H46" s="557"/>
      <c r="I46" s="557"/>
      <c r="J46" s="557"/>
      <c r="K46" s="557"/>
    </row>
    <row r="47" spans="1:22" x14ac:dyDescent="0.25">
      <c r="H47" s="557"/>
      <c r="I47" s="557"/>
      <c r="J47" s="557"/>
      <c r="K47" s="557"/>
    </row>
    <row r="48" spans="1:22" x14ac:dyDescent="0.25">
      <c r="H48" s="557"/>
      <c r="I48" s="557"/>
      <c r="J48" s="557"/>
      <c r="K48" s="557"/>
    </row>
    <row r="49" spans="8:11" x14ac:dyDescent="0.25">
      <c r="H49" s="727"/>
      <c r="I49" s="727"/>
      <c r="J49" s="727"/>
      <c r="K49" s="727"/>
    </row>
    <row r="50" spans="8:11" x14ac:dyDescent="0.25">
      <c r="H50" s="557"/>
      <c r="I50" s="557"/>
      <c r="J50" s="557"/>
      <c r="K50" s="557"/>
    </row>
    <row r="51" spans="8:11" x14ac:dyDescent="0.25">
      <c r="H51" s="727"/>
      <c r="I51" s="727"/>
      <c r="J51" s="727"/>
      <c r="K51" s="727"/>
    </row>
    <row r="52" spans="8:11" ht="15" customHeight="1" x14ac:dyDescent="0.25">
      <c r="H52" s="727"/>
      <c r="I52" s="727"/>
      <c r="J52" s="727"/>
      <c r="K52" s="4"/>
    </row>
  </sheetData>
  <mergeCells count="17">
    <mergeCell ref="U35:V35"/>
    <mergeCell ref="J40:K40"/>
    <mergeCell ref="A32:C32"/>
    <mergeCell ref="A33:C33"/>
    <mergeCell ref="A11:A12"/>
    <mergeCell ref="U14:V14"/>
    <mergeCell ref="A20:A21"/>
    <mergeCell ref="H49:K49"/>
    <mergeCell ref="H51:K51"/>
    <mergeCell ref="H52:J52"/>
    <mergeCell ref="A26:C26"/>
    <mergeCell ref="A27:C27"/>
    <mergeCell ref="A28:C28"/>
    <mergeCell ref="A29:C29"/>
    <mergeCell ref="A30:C30"/>
    <mergeCell ref="A31:C31"/>
    <mergeCell ref="B35:B38"/>
  </mergeCells>
  <pageMargins left="0.7" right="0.7" top="0.75" bottom="0.75" header="0.3" footer="0.3"/>
  <pageSetup paperSize="9" orientation="portrait" horizontalDpi="200" verticalDpi="200"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X77"/>
  <sheetViews>
    <sheetView zoomScale="90" zoomScaleNormal="90" workbookViewId="0">
      <pane xSplit="9" ySplit="3" topLeftCell="J10" activePane="bottomRight" state="frozen"/>
      <selection pane="topRight" activeCell="J1" sqref="J1"/>
      <selection pane="bottomLeft" activeCell="A3" sqref="A3"/>
      <selection pane="bottomRight" activeCell="F28" sqref="F28"/>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19.7109375" bestFit="1" customWidth="1"/>
    <col min="6" max="6" width="18" style="225" bestFit="1" customWidth="1"/>
    <col min="7" max="7" width="7" style="225" bestFit="1" customWidth="1"/>
    <col min="8" max="8" width="2.85546875" customWidth="1"/>
    <col min="9" max="9" width="7.42578125" style="5" bestFit="1" customWidth="1"/>
    <col min="10" max="10" width="17.42578125" style="6" bestFit="1" customWidth="1"/>
    <col min="11" max="11" width="12.7109375" style="5" bestFit="1" customWidth="1"/>
    <col min="12" max="12" width="10" style="5" bestFit="1" customWidth="1"/>
    <col min="13" max="16" width="12.7109375" style="5" bestFit="1" customWidth="1"/>
    <col min="17" max="17" width="7.5703125" style="502" bestFit="1" customWidth="1"/>
    <col min="18" max="18" width="9" style="5" bestFit="1" customWidth="1"/>
    <col min="19" max="19" width="9.28515625" style="5" bestFit="1" customWidth="1"/>
    <col min="20" max="20" width="11" style="5" bestFit="1" customWidth="1"/>
    <col min="22" max="24" width="12.7109375" bestFit="1" customWidth="1"/>
  </cols>
  <sheetData>
    <row r="1" spans="2:24" ht="9" customHeight="1" x14ac:dyDescent="0.25">
      <c r="I1"/>
      <c r="J1" s="2"/>
      <c r="K1"/>
      <c r="L1"/>
      <c r="M1"/>
      <c r="N1"/>
      <c r="O1"/>
      <c r="P1"/>
      <c r="Q1" s="321"/>
      <c r="R1"/>
      <c r="S1"/>
      <c r="T1"/>
    </row>
    <row r="2" spans="2:24" ht="21" x14ac:dyDescent="0.35">
      <c r="B2" s="735" t="s">
        <v>1984</v>
      </c>
      <c r="C2" s="736"/>
      <c r="D2" s="736"/>
      <c r="E2" s="736"/>
      <c r="F2" s="736"/>
      <c r="G2" s="757"/>
      <c r="I2" s="765" t="s">
        <v>1983</v>
      </c>
      <c r="J2" s="766"/>
      <c r="K2" s="766"/>
      <c r="L2" s="766"/>
      <c r="M2" s="766"/>
      <c r="N2" s="766"/>
      <c r="O2" s="766"/>
      <c r="P2" s="766"/>
      <c r="Q2" s="766"/>
      <c r="R2" s="766"/>
      <c r="S2" s="766"/>
      <c r="T2" s="767"/>
    </row>
    <row r="3" spans="2:24" x14ac:dyDescent="0.25">
      <c r="B3" s="755" t="s">
        <v>1025</v>
      </c>
      <c r="C3" s="749"/>
      <c r="D3" s="749"/>
      <c r="E3" s="749"/>
      <c r="F3" s="749"/>
      <c r="G3" s="756"/>
      <c r="I3" s="346" t="s">
        <v>36</v>
      </c>
      <c r="J3" s="17" t="s">
        <v>481</v>
      </c>
      <c r="K3" s="17" t="s">
        <v>50</v>
      </c>
      <c r="L3" s="17" t="s">
        <v>1332</v>
      </c>
      <c r="M3" s="17" t="s">
        <v>879</v>
      </c>
      <c r="N3" s="17" t="s">
        <v>1333</v>
      </c>
      <c r="O3" s="17" t="s">
        <v>950</v>
      </c>
      <c r="P3" s="17" t="s">
        <v>1336</v>
      </c>
      <c r="Q3" s="406" t="s">
        <v>1326</v>
      </c>
      <c r="R3" s="345" t="s">
        <v>1337</v>
      </c>
      <c r="S3" s="345" t="s">
        <v>1334</v>
      </c>
      <c r="T3" s="345" t="s">
        <v>1335</v>
      </c>
    </row>
    <row r="4" spans="2:24" ht="18.75" x14ac:dyDescent="0.3">
      <c r="B4" s="759" t="s">
        <v>948</v>
      </c>
      <c r="C4" s="760"/>
      <c r="D4" s="268"/>
      <c r="E4" s="761" t="s">
        <v>949</v>
      </c>
      <c r="F4" s="762"/>
      <c r="G4" s="268"/>
      <c r="I4" s="334" t="s">
        <v>1004</v>
      </c>
      <c r="J4" s="337" t="s">
        <v>1727</v>
      </c>
      <c r="K4" s="335">
        <v>1560024</v>
      </c>
      <c r="L4" s="335">
        <v>0</v>
      </c>
      <c r="M4" s="335">
        <v>3500000</v>
      </c>
      <c r="N4" s="335">
        <f>M4-3255000</f>
        <v>245000</v>
      </c>
      <c r="O4" s="335">
        <f t="shared" ref="O4:O35" si="0">IF(M4=0,0,M4-K4)-N4</f>
        <v>1694976</v>
      </c>
      <c r="P4" s="335">
        <f t="shared" ref="P4:P39" si="1">IF(M4=0,K4,0)</f>
        <v>0</v>
      </c>
      <c r="Q4" s="405">
        <f>O4/K4</f>
        <v>1.0865063614405932</v>
      </c>
      <c r="R4" s="348">
        <v>41742</v>
      </c>
      <c r="S4" s="348">
        <v>41972</v>
      </c>
      <c r="T4" s="353">
        <f t="shared" ref="T4:T28" si="2">O4/((S4-R4)/7)</f>
        <v>51586.226086956529</v>
      </c>
      <c r="V4" s="247"/>
      <c r="X4" s="247"/>
    </row>
    <row r="5" spans="2:24" x14ac:dyDescent="0.25">
      <c r="B5" s="243"/>
      <c r="C5" s="244"/>
      <c r="D5" s="423"/>
      <c r="E5" s="243"/>
      <c r="F5" s="244"/>
      <c r="G5" s="269"/>
      <c r="I5" s="334" t="s">
        <v>1003</v>
      </c>
      <c r="J5" s="337" t="s">
        <v>2034</v>
      </c>
      <c r="K5" s="335">
        <v>0</v>
      </c>
      <c r="L5" s="335">
        <v>0</v>
      </c>
      <c r="M5" s="335">
        <v>338640</v>
      </c>
      <c r="N5" s="335">
        <f>M5-321708</f>
        <v>16932</v>
      </c>
      <c r="O5" s="335">
        <f t="shared" si="0"/>
        <v>321708</v>
      </c>
      <c r="P5" s="335">
        <f t="shared" si="1"/>
        <v>0</v>
      </c>
      <c r="Q5" s="405" t="s">
        <v>1327</v>
      </c>
      <c r="R5" s="348">
        <v>42038</v>
      </c>
      <c r="S5" s="348">
        <v>42041</v>
      </c>
      <c r="T5" s="353">
        <f t="shared" si="2"/>
        <v>750652</v>
      </c>
      <c r="V5" s="247"/>
      <c r="W5" s="247">
        <f>K40+C8</f>
        <v>1050100</v>
      </c>
    </row>
    <row r="6" spans="2:24" x14ac:dyDescent="0.25">
      <c r="B6" s="226" t="s">
        <v>951</v>
      </c>
      <c r="C6" s="242">
        <f>SUM(C7:C9)</f>
        <v>3984495</v>
      </c>
      <c r="D6" s="304">
        <f>C6/$C$34</f>
        <v>7.3325994161038882E-2</v>
      </c>
      <c r="E6" s="226" t="s">
        <v>1329</v>
      </c>
      <c r="F6" s="242">
        <f>F7+F8+F9</f>
        <v>32016752</v>
      </c>
      <c r="G6" s="271">
        <f>F6/$F$34</f>
        <v>0.58919892488444081</v>
      </c>
      <c r="I6" s="334" t="s">
        <v>1006</v>
      </c>
      <c r="J6" s="337" t="s">
        <v>1780</v>
      </c>
      <c r="K6" s="335">
        <v>824504</v>
      </c>
      <c r="L6" s="335">
        <v>0</v>
      </c>
      <c r="M6" s="335">
        <v>1106000</v>
      </c>
      <c r="N6" s="335">
        <f>M6-1028580</f>
        <v>77420</v>
      </c>
      <c r="O6" s="335">
        <f t="shared" si="0"/>
        <v>204076</v>
      </c>
      <c r="P6" s="335">
        <f t="shared" si="1"/>
        <v>0</v>
      </c>
      <c r="Q6" s="405">
        <f>O6/K6</f>
        <v>0.2475136566954193</v>
      </c>
      <c r="R6" s="348">
        <v>41821</v>
      </c>
      <c r="S6" s="348">
        <v>41986</v>
      </c>
      <c r="T6" s="353">
        <f t="shared" si="2"/>
        <v>8657.7696969696972</v>
      </c>
      <c r="V6" s="247"/>
      <c r="W6" s="30">
        <v>41409</v>
      </c>
    </row>
    <row r="7" spans="2:24" x14ac:dyDescent="0.25">
      <c r="B7" s="249" t="s">
        <v>30</v>
      </c>
      <c r="C7" s="250">
        <f>'A-P_T44'!C7+EconomiaT45!C16</f>
        <v>3392395</v>
      </c>
      <c r="D7" s="424">
        <f>C7/$C$34</f>
        <v>6.2429677026056625E-2</v>
      </c>
      <c r="E7" s="425" t="s">
        <v>1029</v>
      </c>
      <c r="F7" s="237">
        <v>300000</v>
      </c>
      <c r="G7" s="272">
        <f>F7/$F$34</f>
        <v>5.5208497559443952E-3</v>
      </c>
      <c r="I7" s="334" t="s">
        <v>1003</v>
      </c>
      <c r="J7" s="337" t="s">
        <v>1998</v>
      </c>
      <c r="K7" s="335">
        <v>0</v>
      </c>
      <c r="L7" s="335">
        <v>0</v>
      </c>
      <c r="M7" s="335">
        <v>188700</v>
      </c>
      <c r="N7" s="335">
        <f>M7-179265</f>
        <v>9435</v>
      </c>
      <c r="O7" s="335">
        <f t="shared" si="0"/>
        <v>179265</v>
      </c>
      <c r="P7" s="335">
        <f t="shared" si="1"/>
        <v>0</v>
      </c>
      <c r="Q7" s="405" t="s">
        <v>1327</v>
      </c>
      <c r="R7" s="348">
        <v>41982</v>
      </c>
      <c r="S7" s="348">
        <v>41985</v>
      </c>
      <c r="T7" s="353">
        <f t="shared" si="2"/>
        <v>418285</v>
      </c>
      <c r="V7" s="247"/>
      <c r="W7" s="30">
        <f ca="1">TODAY()</f>
        <v>43055</v>
      </c>
      <c r="X7" s="30">
        <f ca="1">W7+112</f>
        <v>43167</v>
      </c>
    </row>
    <row r="8" spans="2:24" x14ac:dyDescent="0.25">
      <c r="B8" s="249" t="s">
        <v>11</v>
      </c>
      <c r="C8" s="250">
        <f>'A-P_T44'!C8+EconomiaT45!C20</f>
        <v>592100</v>
      </c>
      <c r="D8" s="424">
        <f>C8/$C$34</f>
        <v>1.0896317134982255E-2</v>
      </c>
      <c r="E8" s="425" t="s">
        <v>1602</v>
      </c>
      <c r="F8" s="237">
        <f>'A-P_T44'!F9+'A-P_T44'!F8</f>
        <v>31932218</v>
      </c>
      <c r="G8" s="272">
        <f>F8/$F$34</f>
        <v>0.58764325984021082</v>
      </c>
      <c r="I8" s="334" t="s">
        <v>1003</v>
      </c>
      <c r="J8" s="337" t="s">
        <v>1992</v>
      </c>
      <c r="K8" s="335">
        <v>0</v>
      </c>
      <c r="L8" s="335">
        <v>0</v>
      </c>
      <c r="M8" s="335">
        <v>148000</v>
      </c>
      <c r="N8" s="335">
        <f>M8-140600</f>
        <v>7400</v>
      </c>
      <c r="O8" s="335">
        <f t="shared" si="0"/>
        <v>140600</v>
      </c>
      <c r="P8" s="335">
        <f t="shared" si="1"/>
        <v>0</v>
      </c>
      <c r="Q8" s="405" t="s">
        <v>1327</v>
      </c>
      <c r="R8" s="348">
        <v>41967</v>
      </c>
      <c r="S8" s="348">
        <v>41972</v>
      </c>
      <c r="T8" s="353">
        <f t="shared" si="2"/>
        <v>196840</v>
      </c>
      <c r="V8" s="247"/>
      <c r="W8">
        <f ca="1">W7-W6</f>
        <v>1646</v>
      </c>
      <c r="X8">
        <f ca="1">X7-W6</f>
        <v>1758</v>
      </c>
    </row>
    <row r="9" spans="2:24" x14ac:dyDescent="0.25">
      <c r="B9" s="245" t="s">
        <v>1026</v>
      </c>
      <c r="C9" s="248">
        <v>0</v>
      </c>
      <c r="D9" s="424">
        <f>C9/$C$34</f>
        <v>0</v>
      </c>
      <c r="E9" s="425" t="s">
        <v>2069</v>
      </c>
      <c r="F9" s="237">
        <f>'A-P_T44'!F11-EconomiaT44!C24+EconomiaT44!C5+284719</f>
        <v>-215466</v>
      </c>
      <c r="G9" s="272">
        <f>F9/$F$34</f>
        <v>-3.9651847117143837E-3</v>
      </c>
      <c r="I9" s="334" t="s">
        <v>1004</v>
      </c>
      <c r="J9" s="337" t="s">
        <v>1956</v>
      </c>
      <c r="K9" s="335">
        <v>25000</v>
      </c>
      <c r="L9" s="335">
        <v>0</v>
      </c>
      <c r="M9" s="335">
        <v>145000</v>
      </c>
      <c r="N9" s="335">
        <f>M9-130181</f>
        <v>14819</v>
      </c>
      <c r="O9" s="335">
        <f t="shared" si="0"/>
        <v>105181</v>
      </c>
      <c r="P9" s="335">
        <f t="shared" si="1"/>
        <v>0</v>
      </c>
      <c r="Q9" s="405">
        <f>O9/K9</f>
        <v>4.2072399999999996</v>
      </c>
      <c r="R9" s="348">
        <v>41932</v>
      </c>
      <c r="S9" s="348">
        <v>41975</v>
      </c>
      <c r="T9" s="353">
        <f t="shared" si="2"/>
        <v>17122.488372093023</v>
      </c>
      <c r="V9" s="247"/>
      <c r="W9" s="378">
        <f ca="1">W8/7</f>
        <v>235.14285714285714</v>
      </c>
      <c r="X9" s="378">
        <f ca="1">X8/7</f>
        <v>251.14285714285714</v>
      </c>
    </row>
    <row r="10" spans="2:24" x14ac:dyDescent="0.25">
      <c r="B10" s="228"/>
      <c r="C10" s="227"/>
      <c r="D10" s="304"/>
      <c r="E10" s="426"/>
      <c r="F10" s="227"/>
      <c r="G10" s="271"/>
      <c r="I10" s="334" t="s">
        <v>1003</v>
      </c>
      <c r="J10" s="337" t="s">
        <v>2032</v>
      </c>
      <c r="K10" s="335">
        <v>0</v>
      </c>
      <c r="L10" s="335">
        <v>0</v>
      </c>
      <c r="M10" s="335">
        <v>66050</v>
      </c>
      <c r="N10" s="335">
        <f>M10-62748</f>
        <v>3302</v>
      </c>
      <c r="O10" s="335">
        <f t="shared" si="0"/>
        <v>62748</v>
      </c>
      <c r="P10" s="335">
        <f t="shared" si="1"/>
        <v>0</v>
      </c>
      <c r="Q10" s="405" t="s">
        <v>1327</v>
      </c>
      <c r="R10" s="348">
        <v>42025</v>
      </c>
      <c r="S10" s="348">
        <v>42028</v>
      </c>
      <c r="T10" s="353">
        <f t="shared" si="2"/>
        <v>146412</v>
      </c>
      <c r="V10" s="247"/>
      <c r="W10" s="572">
        <f ca="1">W5/W9</f>
        <v>4465.7958687727823</v>
      </c>
      <c r="X10" s="572">
        <f ca="1">W5/X9</f>
        <v>4181.2855517633679</v>
      </c>
    </row>
    <row r="11" spans="2:24" x14ac:dyDescent="0.25">
      <c r="B11" s="226" t="s">
        <v>481</v>
      </c>
      <c r="C11" s="242">
        <f>SUM(C12:C15)</f>
        <v>29342611</v>
      </c>
      <c r="D11" s="304">
        <f>C11/$C$34</f>
        <v>0.53998715592707114</v>
      </c>
      <c r="E11" s="226" t="s">
        <v>1677</v>
      </c>
      <c r="F11" s="242">
        <f>SUM(F12:F17)</f>
        <v>4338973</v>
      </c>
      <c r="G11" s="271">
        <f t="shared" ref="G11:G17" si="3">F11/$F$34</f>
        <v>7.9849393426997733E-2</v>
      </c>
      <c r="I11" s="334" t="s">
        <v>1005</v>
      </c>
      <c r="J11" s="337" t="s">
        <v>1972</v>
      </c>
      <c r="K11" s="335">
        <v>98000</v>
      </c>
      <c r="L11" s="335">
        <v>0</v>
      </c>
      <c r="M11" s="335">
        <v>175000</v>
      </c>
      <c r="N11" s="335">
        <f>M11-154245</f>
        <v>20755</v>
      </c>
      <c r="O11" s="335">
        <f t="shared" si="0"/>
        <v>56245</v>
      </c>
      <c r="P11" s="335">
        <f t="shared" si="1"/>
        <v>0</v>
      </c>
      <c r="Q11" s="405">
        <f>O11/K11</f>
        <v>0.57392857142857145</v>
      </c>
      <c r="R11" s="348">
        <v>41956</v>
      </c>
      <c r="S11" s="348">
        <v>41979</v>
      </c>
      <c r="T11" s="353">
        <f t="shared" si="2"/>
        <v>17118.043478260872</v>
      </c>
      <c r="V11" s="247"/>
      <c r="W11" s="572">
        <f ca="1">W10*16</f>
        <v>71452.733900364517</v>
      </c>
      <c r="X11" s="572">
        <f ca="1">X10*16</f>
        <v>66900.568828213887</v>
      </c>
    </row>
    <row r="12" spans="2:24" x14ac:dyDescent="0.25">
      <c r="B12" s="231" t="s">
        <v>1381</v>
      </c>
      <c r="C12" s="232">
        <f>SUMIF(I4:I96,"S",$P$4:$P$96)</f>
        <v>0</v>
      </c>
      <c r="D12" s="424">
        <f>C12/$C$34</f>
        <v>0</v>
      </c>
      <c r="E12" s="339" t="s">
        <v>1194</v>
      </c>
      <c r="F12" s="340">
        <f>SUMIF(I4:I96,"J",$O$4:$O$96)</f>
        <v>-391654</v>
      </c>
      <c r="G12" s="272">
        <f t="shared" si="3"/>
        <v>-7.2075429677154875E-3</v>
      </c>
      <c r="I12" s="334" t="s">
        <v>1003</v>
      </c>
      <c r="J12" s="337" t="s">
        <v>2028</v>
      </c>
      <c r="K12" s="335">
        <v>0</v>
      </c>
      <c r="L12" s="335">
        <v>0</v>
      </c>
      <c r="M12" s="335">
        <v>58140</v>
      </c>
      <c r="N12" s="335">
        <f>M12-55233</f>
        <v>2907</v>
      </c>
      <c r="O12" s="335">
        <f t="shared" si="0"/>
        <v>55233</v>
      </c>
      <c r="P12" s="335">
        <f t="shared" si="1"/>
        <v>0</v>
      </c>
      <c r="Q12" s="405" t="s">
        <v>1327</v>
      </c>
      <c r="R12" s="348">
        <v>42016</v>
      </c>
      <c r="S12" s="348">
        <v>42019</v>
      </c>
      <c r="T12" s="353">
        <f t="shared" si="2"/>
        <v>128877</v>
      </c>
      <c r="V12" s="247"/>
      <c r="W12" s="63">
        <f ca="1">W9/16</f>
        <v>14.696428571428571</v>
      </c>
      <c r="X12" s="63">
        <f ca="1">X9/16</f>
        <v>15.696428571428571</v>
      </c>
    </row>
    <row r="13" spans="2:24" x14ac:dyDescent="0.25">
      <c r="B13" s="231" t="s">
        <v>481</v>
      </c>
      <c r="C13" s="232">
        <f>SUMIF(I4:I96,"J",$P$4:$P$96)</f>
        <v>26354582</v>
      </c>
      <c r="D13" s="424">
        <f>C13/$C$34</f>
        <v>0.48499895867572185</v>
      </c>
      <c r="E13" s="339" t="s">
        <v>1382</v>
      </c>
      <c r="F13" s="340">
        <f>SUMIF(I4:I96,"S",$O$4:$O$96)</f>
        <v>0</v>
      </c>
      <c r="G13" s="272">
        <f t="shared" si="3"/>
        <v>0</v>
      </c>
      <c r="I13" s="334" t="s">
        <v>1005</v>
      </c>
      <c r="J13" s="337" t="s">
        <v>1973</v>
      </c>
      <c r="K13" s="335">
        <v>6000</v>
      </c>
      <c r="L13" s="335">
        <v>0</v>
      </c>
      <c r="M13" s="335">
        <v>59995</v>
      </c>
      <c r="N13" s="335">
        <f>M13-52466</f>
        <v>7529</v>
      </c>
      <c r="O13" s="335">
        <f t="shared" si="0"/>
        <v>46466</v>
      </c>
      <c r="P13" s="335">
        <f t="shared" si="1"/>
        <v>0</v>
      </c>
      <c r="Q13" s="405">
        <f t="shared" ref="Q13:Q24" si="4">O13/K13</f>
        <v>7.7443333333333335</v>
      </c>
      <c r="R13" s="348">
        <v>41956</v>
      </c>
      <c r="S13" s="348">
        <v>41972</v>
      </c>
      <c r="T13" s="353">
        <f t="shared" si="2"/>
        <v>20328.875</v>
      </c>
      <c r="V13" s="247"/>
    </row>
    <row r="14" spans="2:24" x14ac:dyDescent="0.25">
      <c r="B14" s="231" t="s">
        <v>819</v>
      </c>
      <c r="C14" s="232">
        <f>SUMIF(I4:I96,"E",$P$4:$P$96)</f>
        <v>2360829</v>
      </c>
      <c r="D14" s="424">
        <f>C14/$C$34</f>
        <v>4.3445940694921505E-2</v>
      </c>
      <c r="E14" s="339" t="s">
        <v>1195</v>
      </c>
      <c r="F14" s="340">
        <f>SUMIF(I4:I96,"C",$O$4:$O$96)</f>
        <v>770955</v>
      </c>
      <c r="G14" s="272">
        <f t="shared" si="3"/>
        <v>1.4187755745313705E-2</v>
      </c>
      <c r="I14" s="334" t="s">
        <v>1005</v>
      </c>
      <c r="J14" s="337" t="s">
        <v>1969</v>
      </c>
      <c r="K14" s="335">
        <v>3000</v>
      </c>
      <c r="L14" s="335">
        <v>0</v>
      </c>
      <c r="M14" s="335">
        <v>50000</v>
      </c>
      <c r="N14" s="335">
        <f>M14-44215</f>
        <v>5785</v>
      </c>
      <c r="O14" s="335">
        <f t="shared" si="0"/>
        <v>41215</v>
      </c>
      <c r="P14" s="335">
        <f t="shared" si="1"/>
        <v>0</v>
      </c>
      <c r="Q14" s="405">
        <f t="shared" si="4"/>
        <v>13.738333333333333</v>
      </c>
      <c r="R14" s="348">
        <v>41953</v>
      </c>
      <c r="S14" s="348">
        <v>41979</v>
      </c>
      <c r="T14" s="353">
        <f t="shared" si="2"/>
        <v>11096.346153846154</v>
      </c>
      <c r="V14" s="247"/>
    </row>
    <row r="15" spans="2:24" x14ac:dyDescent="0.25">
      <c r="B15" s="231" t="s">
        <v>997</v>
      </c>
      <c r="C15" s="232">
        <f>SUMIF(I4:I96,"M",$P$4:$P$96)</f>
        <v>627200</v>
      </c>
      <c r="D15" s="424">
        <f>C15/$C$34</f>
        <v>1.154225655642775E-2</v>
      </c>
      <c r="E15" s="339" t="s">
        <v>1196</v>
      </c>
      <c r="F15" s="340">
        <f>SUMIF(I4:I96,"E",$O$4:$O$96)</f>
        <v>1800157</v>
      </c>
      <c r="G15" s="272">
        <f t="shared" si="3"/>
        <v>3.3127987780371987E-2</v>
      </c>
      <c r="I15" s="334" t="s">
        <v>1005</v>
      </c>
      <c r="J15" s="337" t="s">
        <v>1970</v>
      </c>
      <c r="K15" s="335">
        <v>15000</v>
      </c>
      <c r="L15" s="335">
        <v>0</v>
      </c>
      <c r="M15" s="335">
        <v>62000</v>
      </c>
      <c r="N15" s="335">
        <f>M15-54374</f>
        <v>7626</v>
      </c>
      <c r="O15" s="335">
        <f t="shared" si="0"/>
        <v>39374</v>
      </c>
      <c r="P15" s="335">
        <f t="shared" si="1"/>
        <v>0</v>
      </c>
      <c r="Q15" s="405">
        <f t="shared" si="4"/>
        <v>2.6249333333333333</v>
      </c>
      <c r="R15" s="348">
        <v>41953</v>
      </c>
      <c r="S15" s="348">
        <v>41972</v>
      </c>
      <c r="T15" s="353">
        <f t="shared" si="2"/>
        <v>14506.210526315788</v>
      </c>
      <c r="V15" s="247"/>
    </row>
    <row r="16" spans="2:24" x14ac:dyDescent="0.25">
      <c r="B16" s="235"/>
      <c r="C16" s="236"/>
      <c r="D16" s="304"/>
      <c r="E16" s="339" t="s">
        <v>1197</v>
      </c>
      <c r="F16" s="340">
        <f>SUMIF(I4:I96,"M",$O$4:$O$96)</f>
        <v>347528</v>
      </c>
      <c r="G16" s="272">
        <f t="shared" si="3"/>
        <v>6.3954995799461465E-3</v>
      </c>
      <c r="I16" s="334" t="s">
        <v>1005</v>
      </c>
      <c r="J16" s="337" t="s">
        <v>1978</v>
      </c>
      <c r="K16" s="335">
        <v>13000</v>
      </c>
      <c r="L16" s="335">
        <v>0</v>
      </c>
      <c r="M16" s="335">
        <v>49995</v>
      </c>
      <c r="N16" s="335">
        <f>M16-44011</f>
        <v>5984</v>
      </c>
      <c r="O16" s="335">
        <f t="shared" si="0"/>
        <v>31011</v>
      </c>
      <c r="P16" s="335">
        <f t="shared" si="1"/>
        <v>0</v>
      </c>
      <c r="Q16" s="405">
        <f t="shared" si="4"/>
        <v>2.3854615384615383</v>
      </c>
      <c r="R16" s="348">
        <v>41958</v>
      </c>
      <c r="S16" s="348">
        <v>41979</v>
      </c>
      <c r="T16" s="353">
        <f t="shared" si="2"/>
        <v>10337</v>
      </c>
      <c r="V16" s="247"/>
    </row>
    <row r="17" spans="2:23" x14ac:dyDescent="0.25">
      <c r="B17" s="226" t="s">
        <v>48</v>
      </c>
      <c r="C17" s="260">
        <f>C18+C19</f>
        <v>9735178</v>
      </c>
      <c r="D17" s="304">
        <f>C17/$C$34</f>
        <v>0.17915485028458417</v>
      </c>
      <c r="E17" s="341" t="s">
        <v>1713</v>
      </c>
      <c r="F17" s="342">
        <f>'A-P_T45'!C9+C22-F27+EconomiaT45!C24-EconomiaT45!C5</f>
        <v>1811987</v>
      </c>
      <c r="G17" s="272">
        <f t="shared" si="3"/>
        <v>3.3345693289081393E-2</v>
      </c>
      <c r="I17" s="334" t="s">
        <v>1005</v>
      </c>
      <c r="J17" s="337" t="s">
        <v>1967</v>
      </c>
      <c r="K17" s="335">
        <v>21000</v>
      </c>
      <c r="L17" s="335">
        <v>0</v>
      </c>
      <c r="M17" s="335">
        <v>49995</v>
      </c>
      <c r="N17" s="335">
        <f>M17-44436</f>
        <v>5559</v>
      </c>
      <c r="O17" s="335">
        <f t="shared" si="0"/>
        <v>23436</v>
      </c>
      <c r="P17" s="335">
        <f t="shared" si="1"/>
        <v>0</v>
      </c>
      <c r="Q17" s="405">
        <f t="shared" si="4"/>
        <v>1.1160000000000001</v>
      </c>
      <c r="R17" s="348">
        <v>41949</v>
      </c>
      <c r="S17" s="348">
        <v>41979</v>
      </c>
      <c r="T17" s="353">
        <f t="shared" si="2"/>
        <v>5468.4000000000005</v>
      </c>
      <c r="V17" s="247"/>
    </row>
    <row r="18" spans="2:23" x14ac:dyDescent="0.25">
      <c r="B18" s="231" t="s">
        <v>48</v>
      </c>
      <c r="C18" s="232">
        <f>SUM(M4:M93)</f>
        <v>10546676</v>
      </c>
      <c r="D18" s="424">
        <f>C18/$C$34</f>
        <v>0.19408871206874873</v>
      </c>
      <c r="E18" s="228"/>
      <c r="F18" s="227"/>
      <c r="G18" s="270"/>
      <c r="I18" s="334" t="s">
        <v>1005</v>
      </c>
      <c r="J18" s="337" t="s">
        <v>1981</v>
      </c>
      <c r="K18" s="335">
        <v>30000</v>
      </c>
      <c r="L18" s="335">
        <v>0</v>
      </c>
      <c r="M18" s="335">
        <v>59995</v>
      </c>
      <c r="N18" s="335">
        <f>M18-52130</f>
        <v>7865</v>
      </c>
      <c r="O18" s="335">
        <f t="shared" si="0"/>
        <v>22130</v>
      </c>
      <c r="P18" s="335">
        <f t="shared" si="1"/>
        <v>0</v>
      </c>
      <c r="Q18" s="405">
        <f t="shared" si="4"/>
        <v>0.73766666666666669</v>
      </c>
      <c r="R18" s="348">
        <v>41960</v>
      </c>
      <c r="S18" s="348">
        <v>41972</v>
      </c>
      <c r="T18" s="353">
        <f t="shared" si="2"/>
        <v>12909.166666666668</v>
      </c>
      <c r="V18" s="247"/>
    </row>
    <row r="19" spans="2:23" x14ac:dyDescent="0.25">
      <c r="B19" s="245" t="s">
        <v>5</v>
      </c>
      <c r="C19" s="248">
        <f>SUM(N4:N93)*-1</f>
        <v>-811498</v>
      </c>
      <c r="D19" s="424">
        <f>C19/$C$34</f>
        <v>-1.4933861784164551E-2</v>
      </c>
      <c r="E19" s="226" t="s">
        <v>1034</v>
      </c>
      <c r="F19" s="260">
        <f>F20+F21</f>
        <v>9910319</v>
      </c>
      <c r="G19" s="271">
        <f>F19/$F$34</f>
        <v>0.18237794077493702</v>
      </c>
      <c r="I19" s="334" t="s">
        <v>1005</v>
      </c>
      <c r="J19" s="337" t="s">
        <v>1966</v>
      </c>
      <c r="K19" s="335">
        <v>36000</v>
      </c>
      <c r="L19" s="335">
        <v>0</v>
      </c>
      <c r="M19" s="335">
        <v>60180</v>
      </c>
      <c r="N19" s="335">
        <f>M19-53488</f>
        <v>6692</v>
      </c>
      <c r="O19" s="335">
        <f t="shared" si="0"/>
        <v>17488</v>
      </c>
      <c r="P19" s="335">
        <f t="shared" si="1"/>
        <v>0</v>
      </c>
      <c r="Q19" s="405">
        <f t="shared" si="4"/>
        <v>0.48577777777777775</v>
      </c>
      <c r="R19" s="348">
        <v>41949</v>
      </c>
      <c r="S19" s="348">
        <v>41979</v>
      </c>
      <c r="T19" s="353">
        <f t="shared" si="2"/>
        <v>4080.5333333333333</v>
      </c>
      <c r="V19" s="247"/>
      <c r="W19" s="247"/>
    </row>
    <row r="20" spans="2:23" x14ac:dyDescent="0.25">
      <c r="B20" s="235"/>
      <c r="C20" s="236"/>
      <c r="D20" s="424"/>
      <c r="E20" s="307" t="s">
        <v>50</v>
      </c>
      <c r="F20" s="427">
        <f>EconomiaT45!C19</f>
        <v>10131467</v>
      </c>
      <c r="G20" s="272">
        <f>F20/$F$34</f>
        <v>0.18644769038102899</v>
      </c>
      <c r="I20" s="334" t="s">
        <v>1005</v>
      </c>
      <c r="J20" s="337" t="s">
        <v>1974</v>
      </c>
      <c r="K20" s="335">
        <v>35000</v>
      </c>
      <c r="L20" s="335">
        <v>0</v>
      </c>
      <c r="M20" s="335">
        <v>59995</v>
      </c>
      <c r="N20" s="335">
        <f>M20-52466</f>
        <v>7529</v>
      </c>
      <c r="O20" s="335">
        <f t="shared" si="0"/>
        <v>17466</v>
      </c>
      <c r="P20" s="335">
        <f t="shared" si="1"/>
        <v>0</v>
      </c>
      <c r="Q20" s="405">
        <f t="shared" si="4"/>
        <v>0.49902857142857143</v>
      </c>
      <c r="R20" s="348">
        <v>41956</v>
      </c>
      <c r="S20" s="348">
        <v>41972</v>
      </c>
      <c r="T20" s="353">
        <f t="shared" si="2"/>
        <v>7641.375</v>
      </c>
      <c r="V20" s="247"/>
    </row>
    <row r="21" spans="2:23" x14ac:dyDescent="0.25">
      <c r="B21" s="235"/>
      <c r="C21" s="236"/>
      <c r="D21" s="304"/>
      <c r="E21" s="245" t="s">
        <v>1140</v>
      </c>
      <c r="F21" s="238">
        <f>SUM(L4:L93)*-1</f>
        <v>-221148</v>
      </c>
      <c r="G21" s="272">
        <f>F21/$F$34</f>
        <v>-4.069749606091971E-3</v>
      </c>
      <c r="I21" s="334" t="s">
        <v>1005</v>
      </c>
      <c r="J21" s="337" t="s">
        <v>1976</v>
      </c>
      <c r="K21" s="335">
        <v>35000</v>
      </c>
      <c r="L21" s="335">
        <v>0</v>
      </c>
      <c r="M21" s="335">
        <v>59995</v>
      </c>
      <c r="N21" s="335">
        <f>M21-52466</f>
        <v>7529</v>
      </c>
      <c r="O21" s="335">
        <f t="shared" si="0"/>
        <v>17466</v>
      </c>
      <c r="P21" s="335">
        <f t="shared" si="1"/>
        <v>0</v>
      </c>
      <c r="Q21" s="405">
        <f t="shared" si="4"/>
        <v>0.49902857142857143</v>
      </c>
      <c r="R21" s="348">
        <v>41956</v>
      </c>
      <c r="S21" s="348">
        <v>41972</v>
      </c>
      <c r="T21" s="353">
        <f t="shared" si="2"/>
        <v>7641.375</v>
      </c>
      <c r="V21" s="247"/>
    </row>
    <row r="22" spans="2:23" x14ac:dyDescent="0.25">
      <c r="B22" s="226" t="s">
        <v>1328</v>
      </c>
      <c r="C22" s="242">
        <f>SUM(C23:C27)</f>
        <v>8911264</v>
      </c>
      <c r="D22" s="304">
        <f t="shared" ref="D22:D27" si="5">C22/$C$34</f>
        <v>0.16399249893185358</v>
      </c>
      <c r="E22" s="228"/>
      <c r="F22" s="227"/>
      <c r="G22" s="270"/>
      <c r="I22" s="334" t="s">
        <v>1005</v>
      </c>
      <c r="J22" s="337" t="s">
        <v>1979</v>
      </c>
      <c r="K22" s="335">
        <v>35000</v>
      </c>
      <c r="L22" s="335">
        <v>0</v>
      </c>
      <c r="M22" s="335">
        <v>59995</v>
      </c>
      <c r="N22" s="335">
        <f>M22-52034</f>
        <v>7961</v>
      </c>
      <c r="O22" s="335">
        <f t="shared" si="0"/>
        <v>17034</v>
      </c>
      <c r="P22" s="335">
        <f t="shared" si="1"/>
        <v>0</v>
      </c>
      <c r="Q22" s="405">
        <f t="shared" si="4"/>
        <v>0.48668571428571428</v>
      </c>
      <c r="R22" s="348">
        <v>41962</v>
      </c>
      <c r="S22" s="348">
        <v>41972</v>
      </c>
      <c r="T22" s="353">
        <f t="shared" si="2"/>
        <v>11923.8</v>
      </c>
      <c r="V22" s="247"/>
      <c r="W22" s="247"/>
    </row>
    <row r="23" spans="2:23" x14ac:dyDescent="0.25">
      <c r="B23" s="233" t="s">
        <v>42</v>
      </c>
      <c r="C23" s="234">
        <f>EconomiaT45!C11</f>
        <v>83732</v>
      </c>
      <c r="D23" s="424">
        <f t="shared" si="5"/>
        <v>1.5409059725491204E-3</v>
      </c>
      <c r="E23" s="429" t="s">
        <v>1600</v>
      </c>
      <c r="F23" s="242">
        <f>F24+F25</f>
        <v>541585</v>
      </c>
      <c r="G23" s="271">
        <f>F23/$F$34</f>
        <v>9.9666980502438191E-3</v>
      </c>
      <c r="I23" s="334" t="s">
        <v>1005</v>
      </c>
      <c r="J23" s="337" t="s">
        <v>1968</v>
      </c>
      <c r="K23" s="335">
        <v>28000</v>
      </c>
      <c r="L23" s="335">
        <v>0</v>
      </c>
      <c r="M23" s="335">
        <v>50000</v>
      </c>
      <c r="N23" s="335">
        <f>M23-44750</f>
        <v>5250</v>
      </c>
      <c r="O23" s="335">
        <f t="shared" si="0"/>
        <v>16750</v>
      </c>
      <c r="P23" s="335">
        <f t="shared" si="1"/>
        <v>0</v>
      </c>
      <c r="Q23" s="405">
        <f t="shared" si="4"/>
        <v>0.5982142857142857</v>
      </c>
      <c r="R23" s="348">
        <v>41949</v>
      </c>
      <c r="S23" s="348">
        <v>41989</v>
      </c>
      <c r="T23" s="353">
        <f t="shared" si="2"/>
        <v>2931.25</v>
      </c>
      <c r="V23" s="247"/>
    </row>
    <row r="24" spans="2:23" x14ac:dyDescent="0.25">
      <c r="B24" s="233" t="s">
        <v>51</v>
      </c>
      <c r="C24" s="234">
        <f>EconomiaT45!C12</f>
        <v>950000</v>
      </c>
      <c r="D24" s="424">
        <f t="shared" si="5"/>
        <v>1.748269089382392E-2</v>
      </c>
      <c r="E24" s="307" t="s">
        <v>30</v>
      </c>
      <c r="F24" s="428">
        <f>EconomiaT45!C16</f>
        <v>541585</v>
      </c>
      <c r="G24" s="272">
        <f>F24/$F$34</f>
        <v>9.9666980502438191E-3</v>
      </c>
      <c r="I24" s="334" t="s">
        <v>1005</v>
      </c>
      <c r="J24" s="337" t="s">
        <v>1982</v>
      </c>
      <c r="K24" s="335">
        <v>35000</v>
      </c>
      <c r="L24" s="335">
        <v>0</v>
      </c>
      <c r="M24" s="335">
        <v>50000</v>
      </c>
      <c r="N24" s="335">
        <f>M24-43190</f>
        <v>6810</v>
      </c>
      <c r="O24" s="335">
        <f t="shared" si="0"/>
        <v>8190</v>
      </c>
      <c r="P24" s="335">
        <f t="shared" si="1"/>
        <v>0</v>
      </c>
      <c r="Q24" s="405">
        <f t="shared" si="4"/>
        <v>0.23400000000000001</v>
      </c>
      <c r="R24" s="348">
        <v>41960</v>
      </c>
      <c r="S24" s="348">
        <v>41972</v>
      </c>
      <c r="T24" s="353">
        <f t="shared" si="2"/>
        <v>4777.5</v>
      </c>
      <c r="V24" s="508"/>
      <c r="W24" s="509"/>
    </row>
    <row r="25" spans="2:23" x14ac:dyDescent="0.25">
      <c r="B25" s="233" t="s">
        <v>0</v>
      </c>
      <c r="C25" s="234">
        <f>EconomiaT45!C6</f>
        <v>5114528</v>
      </c>
      <c r="D25" s="424">
        <f t="shared" si="5"/>
        <v>9.4121802201902596E-2</v>
      </c>
      <c r="E25" s="307" t="s">
        <v>11</v>
      </c>
      <c r="F25" s="428">
        <f>EconomiaT45!C20</f>
        <v>0</v>
      </c>
      <c r="G25" s="272">
        <f>F25/$F$34</f>
        <v>0</v>
      </c>
      <c r="I25" s="334" t="s">
        <v>1003</v>
      </c>
      <c r="J25" s="337" t="s">
        <v>2035</v>
      </c>
      <c r="K25" s="335">
        <v>0</v>
      </c>
      <c r="L25" s="335">
        <v>0</v>
      </c>
      <c r="M25" s="335">
        <v>7000</v>
      </c>
      <c r="N25" s="335">
        <f>M25-6650</f>
        <v>350</v>
      </c>
      <c r="O25" s="335">
        <f t="shared" si="0"/>
        <v>6650</v>
      </c>
      <c r="P25" s="335">
        <f t="shared" si="1"/>
        <v>0</v>
      </c>
      <c r="Q25" s="405" t="s">
        <v>1327</v>
      </c>
      <c r="R25" s="348">
        <v>42045</v>
      </c>
      <c r="S25" s="348">
        <f>R25+3</f>
        <v>42048</v>
      </c>
      <c r="T25" s="353">
        <f t="shared" si="2"/>
        <v>15516.666666666668</v>
      </c>
      <c r="V25" s="508"/>
      <c r="W25" s="509"/>
    </row>
    <row r="26" spans="2:23" x14ac:dyDescent="0.25">
      <c r="B26" s="233" t="s">
        <v>2</v>
      </c>
      <c r="C26" s="234">
        <f>EconomiaT45!C7</f>
        <v>2350915</v>
      </c>
      <c r="D26" s="424">
        <f t="shared" si="5"/>
        <v>4.3263495013320059E-2</v>
      </c>
      <c r="E26" s="226"/>
      <c r="F26" s="242"/>
      <c r="G26" s="271"/>
      <c r="I26" s="334" t="s">
        <v>1003</v>
      </c>
      <c r="J26" s="337" t="s">
        <v>2021</v>
      </c>
      <c r="K26" s="335">
        <v>0</v>
      </c>
      <c r="L26" s="335">
        <v>0</v>
      </c>
      <c r="M26" s="335">
        <v>4001</v>
      </c>
      <c r="N26" s="335">
        <f>M26-3801</f>
        <v>200</v>
      </c>
      <c r="O26" s="335">
        <f t="shared" si="0"/>
        <v>3801</v>
      </c>
      <c r="P26" s="335">
        <f t="shared" si="1"/>
        <v>0</v>
      </c>
      <c r="Q26" s="405" t="s">
        <v>1327</v>
      </c>
      <c r="R26" s="348">
        <v>42006</v>
      </c>
      <c r="S26" s="348">
        <v>42009</v>
      </c>
      <c r="T26" s="353">
        <f t="shared" si="2"/>
        <v>8869</v>
      </c>
      <c r="V26" s="508"/>
      <c r="W26" s="509"/>
    </row>
    <row r="27" spans="2:23" x14ac:dyDescent="0.25">
      <c r="B27" s="233" t="s">
        <v>5</v>
      </c>
      <c r="C27" s="234">
        <f>EconomiaT45!C10</f>
        <v>412089</v>
      </c>
      <c r="D27" s="424">
        <f t="shared" si="5"/>
        <v>7.5836048502579004E-3</v>
      </c>
      <c r="E27" s="226" t="s">
        <v>1601</v>
      </c>
      <c r="F27" s="242">
        <f>SUM(F28:F33)</f>
        <v>7531832</v>
      </c>
      <c r="G27" s="271">
        <f t="shared" ref="G27:G33" si="6">F27/$F$34</f>
        <v>0.13860704286338063</v>
      </c>
      <c r="I27" s="334" t="s">
        <v>1003</v>
      </c>
      <c r="J27" s="337" t="s">
        <v>2022</v>
      </c>
      <c r="K27" s="335">
        <v>0</v>
      </c>
      <c r="L27" s="335">
        <v>0</v>
      </c>
      <c r="M27" s="335">
        <v>1000</v>
      </c>
      <c r="N27" s="335">
        <v>50</v>
      </c>
      <c r="O27" s="335">
        <f t="shared" si="0"/>
        <v>950</v>
      </c>
      <c r="P27" s="335">
        <f t="shared" si="1"/>
        <v>0</v>
      </c>
      <c r="Q27" s="405" t="s">
        <v>1327</v>
      </c>
      <c r="R27" s="348">
        <v>42006</v>
      </c>
      <c r="S27" s="348">
        <v>42009</v>
      </c>
      <c r="T27" s="353">
        <f t="shared" si="2"/>
        <v>2216.666666666667</v>
      </c>
      <c r="V27" s="508"/>
      <c r="W27" s="509"/>
    </row>
    <row r="28" spans="2:23" x14ac:dyDescent="0.25">
      <c r="B28" s="226"/>
      <c r="C28" s="242"/>
      <c r="D28" s="304"/>
      <c r="E28" s="307" t="s">
        <v>882</v>
      </c>
      <c r="F28" s="428">
        <f>EconomiaT45!C14</f>
        <v>5543488</v>
      </c>
      <c r="G28" s="272">
        <f t="shared" si="6"/>
        <v>0.10201588123960229</v>
      </c>
      <c r="I28" s="334" t="s">
        <v>1005</v>
      </c>
      <c r="J28" s="337" t="s">
        <v>1971</v>
      </c>
      <c r="K28" s="335">
        <v>17000</v>
      </c>
      <c r="L28" s="335">
        <v>0</v>
      </c>
      <c r="M28" s="335">
        <v>20000</v>
      </c>
      <c r="N28" s="335">
        <f>M28-17914</f>
        <v>2086</v>
      </c>
      <c r="O28" s="335">
        <f t="shared" si="0"/>
        <v>914</v>
      </c>
      <c r="P28" s="335">
        <f t="shared" si="1"/>
        <v>0</v>
      </c>
      <c r="Q28" s="405">
        <f>O28/K28</f>
        <v>5.3764705882352944E-2</v>
      </c>
      <c r="R28" s="348">
        <v>41953</v>
      </c>
      <c r="S28" s="348">
        <v>41995</v>
      </c>
      <c r="T28" s="353">
        <f t="shared" si="2"/>
        <v>152.33333333333334</v>
      </c>
      <c r="V28" s="508"/>
      <c r="W28" s="509"/>
    </row>
    <row r="29" spans="2:23" x14ac:dyDescent="0.25">
      <c r="B29" s="226" t="s">
        <v>1200</v>
      </c>
      <c r="C29" s="242">
        <f>EconomiaT45!S24</f>
        <v>2365913</v>
      </c>
      <c r="D29" s="304">
        <f>C29/$C$34</f>
        <v>4.3539500695452239E-2</v>
      </c>
      <c r="E29" s="307" t="s">
        <v>29</v>
      </c>
      <c r="F29" s="428">
        <f>EconomiaT45!C15</f>
        <v>577344</v>
      </c>
      <c r="G29" s="272">
        <f t="shared" si="6"/>
        <v>1.062476493831987E-2</v>
      </c>
      <c r="I29" s="187" t="s">
        <v>1006</v>
      </c>
      <c r="J29" s="336" t="s">
        <v>1822</v>
      </c>
      <c r="K29" s="333">
        <v>3182496</v>
      </c>
      <c r="L29" s="333">
        <v>0</v>
      </c>
      <c r="M29" s="333">
        <v>0</v>
      </c>
      <c r="N29" s="333">
        <v>0</v>
      </c>
      <c r="O29" s="343">
        <f t="shared" si="0"/>
        <v>0</v>
      </c>
      <c r="P29" s="333">
        <f t="shared" si="1"/>
        <v>3182496</v>
      </c>
      <c r="Q29" s="403"/>
      <c r="R29" s="347">
        <v>41769</v>
      </c>
      <c r="S29" s="347"/>
      <c r="T29" s="344"/>
      <c r="V29" s="508"/>
      <c r="W29" s="509"/>
    </row>
    <row r="30" spans="2:23" x14ac:dyDescent="0.25">
      <c r="B30" s="226"/>
      <c r="C30" s="242"/>
      <c r="D30" s="304"/>
      <c r="E30" s="307" t="s">
        <v>6</v>
      </c>
      <c r="F30" s="428">
        <f>EconomiaT45!C17</f>
        <v>960000</v>
      </c>
      <c r="G30" s="272">
        <f t="shared" si="6"/>
        <v>1.7666719219022065E-2</v>
      </c>
      <c r="I30" s="187" t="s">
        <v>1006</v>
      </c>
      <c r="J30" s="336" t="s">
        <v>1935</v>
      </c>
      <c r="K30" s="333">
        <v>2600000</v>
      </c>
      <c r="L30" s="333">
        <v>0</v>
      </c>
      <c r="M30" s="333">
        <v>0</v>
      </c>
      <c r="N30" s="333">
        <v>0</v>
      </c>
      <c r="O30" s="343">
        <f t="shared" si="0"/>
        <v>0</v>
      </c>
      <c r="P30" s="333">
        <f t="shared" si="1"/>
        <v>2600000</v>
      </c>
      <c r="Q30" s="403"/>
      <c r="R30" s="347">
        <v>41919</v>
      </c>
      <c r="S30" s="347"/>
      <c r="T30" s="344"/>
      <c r="V30" s="508"/>
      <c r="W30" s="509"/>
    </row>
    <row r="31" spans="2:23" x14ac:dyDescent="0.25">
      <c r="B31" s="226"/>
      <c r="C31" s="242"/>
      <c r="D31" s="304"/>
      <c r="E31" s="307" t="s">
        <v>8</v>
      </c>
      <c r="F31" s="428">
        <f>EconomiaT45!C18</f>
        <v>320000</v>
      </c>
      <c r="G31" s="272">
        <f t="shared" si="6"/>
        <v>5.8889064063406887E-3</v>
      </c>
      <c r="I31" s="187" t="s">
        <v>1006</v>
      </c>
      <c r="J31" s="336" t="s">
        <v>1731</v>
      </c>
      <c r="K31" s="333">
        <v>2530400</v>
      </c>
      <c r="L31" s="333">
        <v>0</v>
      </c>
      <c r="M31" s="333">
        <v>0</v>
      </c>
      <c r="N31" s="333">
        <v>0</v>
      </c>
      <c r="O31" s="343">
        <f t="shared" si="0"/>
        <v>0</v>
      </c>
      <c r="P31" s="333">
        <f t="shared" si="1"/>
        <v>2530400</v>
      </c>
      <c r="Q31" s="403"/>
      <c r="R31" s="347">
        <v>41778</v>
      </c>
      <c r="S31" s="347"/>
      <c r="T31" s="344"/>
      <c r="V31" s="508"/>
      <c r="W31" s="509"/>
    </row>
    <row r="32" spans="2:23" x14ac:dyDescent="0.25">
      <c r="B32" s="226"/>
      <c r="C32" s="242"/>
      <c r="D32" s="304"/>
      <c r="E32" s="307" t="s">
        <v>818</v>
      </c>
      <c r="F32" s="428">
        <f>EconomiaT45!C21</f>
        <v>131000</v>
      </c>
      <c r="G32" s="272">
        <f t="shared" si="6"/>
        <v>2.4107710600957196E-3</v>
      </c>
      <c r="I32" s="187" t="s">
        <v>1006</v>
      </c>
      <c r="J32" s="336" t="s">
        <v>1676</v>
      </c>
      <c r="K32" s="333">
        <v>2125000</v>
      </c>
      <c r="L32" s="333">
        <v>0</v>
      </c>
      <c r="M32" s="333">
        <v>0</v>
      </c>
      <c r="N32" s="333">
        <v>0</v>
      </c>
      <c r="O32" s="343">
        <f t="shared" si="0"/>
        <v>0</v>
      </c>
      <c r="P32" s="333">
        <f t="shared" si="1"/>
        <v>2125000</v>
      </c>
      <c r="Q32" s="403"/>
      <c r="R32" s="347">
        <v>41584</v>
      </c>
      <c r="S32" s="347"/>
      <c r="T32" s="344"/>
      <c r="V32" s="508"/>
      <c r="W32" s="509"/>
    </row>
    <row r="33" spans="2:23" x14ac:dyDescent="0.25">
      <c r="B33" s="230"/>
      <c r="C33" s="229"/>
      <c r="D33" s="304"/>
      <c r="E33" s="431" t="s">
        <v>10</v>
      </c>
      <c r="F33" s="432">
        <f>EconomiaT45!C22</f>
        <v>0</v>
      </c>
      <c r="G33" s="430">
        <f t="shared" si="6"/>
        <v>0</v>
      </c>
      <c r="I33" s="187" t="s">
        <v>1006</v>
      </c>
      <c r="J33" s="336" t="s">
        <v>1926</v>
      </c>
      <c r="K33" s="333">
        <v>2012000</v>
      </c>
      <c r="L33" s="333">
        <v>0</v>
      </c>
      <c r="M33" s="333">
        <v>0</v>
      </c>
      <c r="N33" s="333">
        <v>0</v>
      </c>
      <c r="O33" s="343">
        <f t="shared" si="0"/>
        <v>0</v>
      </c>
      <c r="P33" s="333">
        <f t="shared" si="1"/>
        <v>2012000</v>
      </c>
      <c r="Q33" s="403"/>
      <c r="R33" s="347">
        <v>41899</v>
      </c>
      <c r="S33" s="347"/>
      <c r="T33" s="344"/>
      <c r="V33" s="508"/>
      <c r="W33" s="509"/>
    </row>
    <row r="34" spans="2:23" ht="18.75" x14ac:dyDescent="0.3">
      <c r="B34" s="239" t="s">
        <v>291</v>
      </c>
      <c r="C34" s="240">
        <f>C22+C17+C11+C6+C29</f>
        <v>54339461</v>
      </c>
      <c r="D34" s="43">
        <f>C34/$C$34</f>
        <v>1</v>
      </c>
      <c r="E34" s="366" t="s">
        <v>291</v>
      </c>
      <c r="F34" s="367">
        <f>F27+F19+F11+F6+F23</f>
        <v>54339461</v>
      </c>
      <c r="G34" s="43">
        <f>F34/$F$34</f>
        <v>1</v>
      </c>
      <c r="I34" s="187" t="s">
        <v>1006</v>
      </c>
      <c r="J34" s="336" t="s">
        <v>1760</v>
      </c>
      <c r="K34" s="333">
        <v>1685030</v>
      </c>
      <c r="L34" s="333">
        <v>0</v>
      </c>
      <c r="M34" s="333">
        <v>0</v>
      </c>
      <c r="N34" s="333">
        <v>0</v>
      </c>
      <c r="O34" s="343">
        <f t="shared" si="0"/>
        <v>0</v>
      </c>
      <c r="P34" s="333">
        <f t="shared" si="1"/>
        <v>1685030</v>
      </c>
      <c r="Q34" s="403"/>
      <c r="R34" s="347">
        <v>41785</v>
      </c>
      <c r="S34" s="347"/>
      <c r="T34" s="344"/>
      <c r="V34" s="508"/>
      <c r="W34" s="509"/>
    </row>
    <row r="35" spans="2:23" x14ac:dyDescent="0.25">
      <c r="F35" s="417">
        <f>F34-C34</f>
        <v>0</v>
      </c>
      <c r="I35" s="187" t="s">
        <v>1006</v>
      </c>
      <c r="J35" s="336" t="s">
        <v>1842</v>
      </c>
      <c r="K35" s="333">
        <v>1532040</v>
      </c>
      <c r="L35" s="333">
        <v>0</v>
      </c>
      <c r="M35" s="333">
        <v>0</v>
      </c>
      <c r="N35" s="333">
        <v>0</v>
      </c>
      <c r="O35" s="343">
        <f t="shared" si="0"/>
        <v>0</v>
      </c>
      <c r="P35" s="333">
        <f t="shared" si="1"/>
        <v>1532040</v>
      </c>
      <c r="Q35" s="403"/>
      <c r="R35" s="347">
        <v>41282</v>
      </c>
      <c r="S35" s="347"/>
      <c r="T35" s="344"/>
      <c r="V35" s="508"/>
      <c r="W35" s="509"/>
    </row>
    <row r="36" spans="2:23" x14ac:dyDescent="0.25">
      <c r="I36" s="187" t="s">
        <v>1006</v>
      </c>
      <c r="J36" s="336" t="s">
        <v>1781</v>
      </c>
      <c r="K36" s="333">
        <v>1526940</v>
      </c>
      <c r="L36" s="333">
        <v>0</v>
      </c>
      <c r="M36" s="333">
        <v>0</v>
      </c>
      <c r="N36" s="333">
        <v>0</v>
      </c>
      <c r="O36" s="343">
        <f t="shared" ref="O36:O53" si="7">IF(M36=0,0,M36-K36)-N36</f>
        <v>0</v>
      </c>
      <c r="P36" s="333">
        <f t="shared" si="1"/>
        <v>1526940</v>
      </c>
      <c r="Q36" s="403"/>
      <c r="R36" s="347">
        <v>41831</v>
      </c>
      <c r="S36" s="347"/>
      <c r="T36" s="344"/>
      <c r="V36" s="508"/>
      <c r="W36" s="509"/>
    </row>
    <row r="37" spans="2:23" x14ac:dyDescent="0.25">
      <c r="I37" s="187" t="s">
        <v>1006</v>
      </c>
      <c r="J37" s="336" t="s">
        <v>1826</v>
      </c>
      <c r="K37" s="333">
        <v>1226676</v>
      </c>
      <c r="L37" s="333">
        <v>0</v>
      </c>
      <c r="M37" s="333">
        <v>0</v>
      </c>
      <c r="N37" s="333">
        <v>0</v>
      </c>
      <c r="O37" s="343">
        <f t="shared" si="7"/>
        <v>0</v>
      </c>
      <c r="P37" s="333">
        <f t="shared" si="1"/>
        <v>1226676</v>
      </c>
      <c r="Q37" s="403"/>
      <c r="R37" s="347">
        <v>41848</v>
      </c>
      <c r="S37" s="347"/>
      <c r="T37" s="344"/>
      <c r="V37" s="508"/>
      <c r="W37" s="509"/>
    </row>
    <row r="38" spans="2:23" x14ac:dyDescent="0.25">
      <c r="H38" s="225"/>
      <c r="I38" s="187" t="s">
        <v>1006</v>
      </c>
      <c r="J38" s="336" t="s">
        <v>1339</v>
      </c>
      <c r="K38" s="333">
        <v>785000</v>
      </c>
      <c r="L38" s="333">
        <v>0</v>
      </c>
      <c r="M38" s="333">
        <v>0</v>
      </c>
      <c r="N38" s="333">
        <v>0</v>
      </c>
      <c r="O38" s="343">
        <f t="shared" si="7"/>
        <v>0</v>
      </c>
      <c r="P38" s="333">
        <f t="shared" si="1"/>
        <v>785000</v>
      </c>
      <c r="Q38" s="403"/>
      <c r="R38" s="347">
        <v>41325</v>
      </c>
      <c r="S38" s="347"/>
      <c r="T38" s="344"/>
      <c r="V38" s="508"/>
      <c r="W38" s="509"/>
    </row>
    <row r="39" spans="2:23" x14ac:dyDescent="0.25">
      <c r="I39" s="187" t="s">
        <v>1004</v>
      </c>
      <c r="J39" s="336" t="s">
        <v>1765</v>
      </c>
      <c r="K39" s="333">
        <v>596830</v>
      </c>
      <c r="L39" s="333">
        <v>0</v>
      </c>
      <c r="M39" s="333">
        <v>0</v>
      </c>
      <c r="N39" s="333">
        <v>0</v>
      </c>
      <c r="O39" s="343">
        <f t="shared" si="7"/>
        <v>0</v>
      </c>
      <c r="P39" s="333">
        <f t="shared" si="1"/>
        <v>596830</v>
      </c>
      <c r="Q39" s="403"/>
      <c r="R39" s="347">
        <v>41798</v>
      </c>
      <c r="S39" s="347"/>
      <c r="T39" s="344"/>
      <c r="V39" s="508"/>
      <c r="W39" s="509"/>
    </row>
    <row r="40" spans="2:23" x14ac:dyDescent="0.25">
      <c r="C40" s="129"/>
      <c r="E40" s="30"/>
      <c r="I40" s="34" t="s">
        <v>1198</v>
      </c>
      <c r="J40" s="345" t="s">
        <v>1708</v>
      </c>
      <c r="K40" s="278">
        <v>458000</v>
      </c>
      <c r="L40" s="278"/>
      <c r="M40" s="278">
        <v>0</v>
      </c>
      <c r="N40" s="278">
        <v>0</v>
      </c>
      <c r="O40" s="278">
        <f t="shared" si="7"/>
        <v>0</v>
      </c>
      <c r="P40" s="278">
        <v>0</v>
      </c>
      <c r="Q40" s="404"/>
      <c r="R40" s="352"/>
      <c r="S40" s="352"/>
      <c r="T40" s="351"/>
      <c r="V40" s="508"/>
      <c r="W40" s="509"/>
    </row>
    <row r="41" spans="2:23" x14ac:dyDescent="0.25">
      <c r="E41" s="30"/>
      <c r="I41" s="187" t="s">
        <v>1003</v>
      </c>
      <c r="J41" s="336" t="s">
        <v>1017</v>
      </c>
      <c r="K41" s="333">
        <v>0</v>
      </c>
      <c r="L41" s="333">
        <v>0</v>
      </c>
      <c r="M41" s="333">
        <v>0</v>
      </c>
      <c r="N41" s="333">
        <v>0</v>
      </c>
      <c r="O41" s="343">
        <f t="shared" si="7"/>
        <v>0</v>
      </c>
      <c r="P41" s="333">
        <f t="shared" ref="P41:P53" si="8">IF(M41=0,K41,0)</f>
        <v>0</v>
      </c>
      <c r="Q41" s="403"/>
      <c r="R41" s="347">
        <v>40993</v>
      </c>
      <c r="S41" s="347"/>
      <c r="T41" s="344"/>
      <c r="V41" s="508"/>
      <c r="W41" s="509"/>
    </row>
    <row r="42" spans="2:23" x14ac:dyDescent="0.25">
      <c r="I42" s="187" t="s">
        <v>1005</v>
      </c>
      <c r="J42" s="336" t="s">
        <v>1975</v>
      </c>
      <c r="K42" s="333">
        <v>31000</v>
      </c>
      <c r="L42" s="333">
        <v>0</v>
      </c>
      <c r="M42" s="333">
        <v>0</v>
      </c>
      <c r="N42" s="333">
        <v>0</v>
      </c>
      <c r="O42" s="343">
        <f t="shared" si="7"/>
        <v>0</v>
      </c>
      <c r="P42" s="333">
        <f t="shared" si="8"/>
        <v>31000</v>
      </c>
      <c r="Q42" s="403"/>
      <c r="R42" s="347">
        <v>41956</v>
      </c>
      <c r="S42" s="347"/>
      <c r="T42" s="344"/>
      <c r="V42" s="508"/>
      <c r="W42" s="509"/>
    </row>
    <row r="43" spans="2:23" ht="14.25" customHeight="1" x14ac:dyDescent="0.25">
      <c r="I43" s="187" t="s">
        <v>1005</v>
      </c>
      <c r="J43" s="336" t="s">
        <v>1977</v>
      </c>
      <c r="K43" s="333">
        <v>38500</v>
      </c>
      <c r="L43" s="333">
        <v>0</v>
      </c>
      <c r="M43" s="333">
        <v>0</v>
      </c>
      <c r="N43" s="333">
        <v>0</v>
      </c>
      <c r="O43" s="343">
        <f t="shared" si="7"/>
        <v>0</v>
      </c>
      <c r="P43" s="333">
        <f t="shared" si="8"/>
        <v>38500</v>
      </c>
      <c r="Q43" s="403"/>
      <c r="R43" s="347">
        <v>41956</v>
      </c>
      <c r="S43" s="347"/>
      <c r="T43" s="344"/>
      <c r="V43" s="508"/>
      <c r="W43" s="509"/>
    </row>
    <row r="44" spans="2:23" s="2" customFormat="1" x14ac:dyDescent="0.25">
      <c r="B44" s="212"/>
      <c r="C44" s="212"/>
      <c r="D44" s="212"/>
      <c r="F44" s="212"/>
      <c r="G44" s="212"/>
      <c r="I44" s="187" t="s">
        <v>1004</v>
      </c>
      <c r="J44" s="336" t="s">
        <v>1994</v>
      </c>
      <c r="K44" s="333">
        <v>1699999</v>
      </c>
      <c r="L44" s="333">
        <v>4836</v>
      </c>
      <c r="M44" s="333">
        <v>0</v>
      </c>
      <c r="N44" s="333">
        <v>0</v>
      </c>
      <c r="O44" s="343">
        <f t="shared" si="7"/>
        <v>0</v>
      </c>
      <c r="P44" s="333">
        <f t="shared" si="8"/>
        <v>1699999</v>
      </c>
      <c r="Q44" s="403"/>
      <c r="R44" s="347">
        <v>41974</v>
      </c>
      <c r="S44" s="347"/>
      <c r="T44" s="344"/>
      <c r="U44"/>
      <c r="V44" s="508"/>
      <c r="W44" s="509"/>
    </row>
    <row r="45" spans="2:23" x14ac:dyDescent="0.25">
      <c r="I45" s="187" t="s">
        <v>1006</v>
      </c>
      <c r="J45" s="336" t="s">
        <v>2023</v>
      </c>
      <c r="K45" s="333">
        <v>1275000</v>
      </c>
      <c r="L45" s="333">
        <v>34644</v>
      </c>
      <c r="M45" s="333">
        <v>0</v>
      </c>
      <c r="N45" s="333">
        <v>0</v>
      </c>
      <c r="O45" s="343">
        <f t="shared" si="7"/>
        <v>0</v>
      </c>
      <c r="P45" s="333">
        <f t="shared" si="8"/>
        <v>1275000</v>
      </c>
      <c r="Q45" s="403"/>
      <c r="R45" s="347">
        <v>41993</v>
      </c>
      <c r="S45" s="347"/>
      <c r="T45" s="344"/>
      <c r="V45" s="508"/>
      <c r="W45" s="509"/>
    </row>
    <row r="46" spans="2:23" x14ac:dyDescent="0.25">
      <c r="I46" s="187" t="s">
        <v>1006</v>
      </c>
      <c r="J46" s="336" t="s">
        <v>2024</v>
      </c>
      <c r="K46" s="333">
        <v>3300000</v>
      </c>
      <c r="L46" s="333">
        <v>29940</v>
      </c>
      <c r="M46" s="333">
        <v>0</v>
      </c>
      <c r="N46" s="333">
        <v>0</v>
      </c>
      <c r="O46" s="343">
        <f t="shared" si="7"/>
        <v>0</v>
      </c>
      <c r="P46" s="333">
        <f t="shared" si="8"/>
        <v>3300000</v>
      </c>
      <c r="Q46" s="403"/>
      <c r="R46" s="347">
        <v>41992</v>
      </c>
      <c r="S46" s="347"/>
      <c r="T46" s="344"/>
      <c r="V46" s="508"/>
      <c r="W46" s="509"/>
    </row>
    <row r="47" spans="2:23" x14ac:dyDescent="0.25">
      <c r="E47" s="225"/>
      <c r="I47" s="187" t="s">
        <v>1006</v>
      </c>
      <c r="J47" s="336" t="s">
        <v>2026</v>
      </c>
      <c r="K47" s="333">
        <v>1299000</v>
      </c>
      <c r="L47" s="333">
        <v>30024</v>
      </c>
      <c r="M47" s="333">
        <v>0</v>
      </c>
      <c r="N47" s="333">
        <v>0</v>
      </c>
      <c r="O47" s="343">
        <f t="shared" si="7"/>
        <v>0</v>
      </c>
      <c r="P47" s="333">
        <f t="shared" si="8"/>
        <v>1299000</v>
      </c>
      <c r="Q47" s="403"/>
      <c r="R47" s="347">
        <v>42017</v>
      </c>
      <c r="S47" s="347"/>
      <c r="T47" s="344"/>
      <c r="V47" s="508"/>
      <c r="W47" s="509"/>
    </row>
    <row r="48" spans="2:23" x14ac:dyDescent="0.25">
      <c r="I48" s="187" t="s">
        <v>1006</v>
      </c>
      <c r="J48" s="336" t="s">
        <v>2031</v>
      </c>
      <c r="K48" s="333">
        <v>1275000</v>
      </c>
      <c r="L48" s="333">
        <v>14748</v>
      </c>
      <c r="M48" s="333">
        <v>0</v>
      </c>
      <c r="N48" s="333">
        <v>0</v>
      </c>
      <c r="O48" s="343">
        <f t="shared" si="7"/>
        <v>0</v>
      </c>
      <c r="P48" s="333">
        <f t="shared" si="8"/>
        <v>1275000</v>
      </c>
      <c r="Q48" s="403"/>
      <c r="R48" s="347">
        <v>42026</v>
      </c>
      <c r="S48" s="347"/>
      <c r="T48" s="344"/>
      <c r="V48" s="508"/>
      <c r="W48" s="509"/>
    </row>
    <row r="49" spans="9:23" x14ac:dyDescent="0.25">
      <c r="I49" s="334" t="s">
        <v>1006</v>
      </c>
      <c r="J49" s="337" t="s">
        <v>2038</v>
      </c>
      <c r="K49" s="335">
        <v>244800</v>
      </c>
      <c r="L49" s="335">
        <f>43644</f>
        <v>43644</v>
      </c>
      <c r="M49" s="335">
        <v>443000</v>
      </c>
      <c r="N49" s="335">
        <f>M49-389973</f>
        <v>53027</v>
      </c>
      <c r="O49" s="335">
        <f t="shared" si="7"/>
        <v>145173</v>
      </c>
      <c r="P49" s="335">
        <f t="shared" si="8"/>
        <v>0</v>
      </c>
      <c r="Q49" s="405">
        <f t="shared" ref="Q49:Q54" si="9">O49/K49</f>
        <v>0.59302696078431372</v>
      </c>
      <c r="R49" s="348">
        <v>42052</v>
      </c>
      <c r="S49" s="348">
        <v>42074</v>
      </c>
      <c r="T49" s="353">
        <f t="shared" ref="T49:T54" si="10">O49/((S49-R49)/7)</f>
        <v>46191.409090909088</v>
      </c>
      <c r="V49" s="508"/>
      <c r="W49" s="509"/>
    </row>
    <row r="50" spans="9:23" x14ac:dyDescent="0.25">
      <c r="I50" s="334" t="s">
        <v>1005</v>
      </c>
      <c r="J50" s="337" t="s">
        <v>1980</v>
      </c>
      <c r="K50" s="335">
        <v>31000</v>
      </c>
      <c r="L50" s="335">
        <v>0</v>
      </c>
      <c r="M50" s="335">
        <v>26000</v>
      </c>
      <c r="N50" s="335">
        <f>M50-23343</f>
        <v>2657</v>
      </c>
      <c r="O50" s="335">
        <f t="shared" si="7"/>
        <v>-7657</v>
      </c>
      <c r="P50" s="335">
        <f t="shared" si="8"/>
        <v>0</v>
      </c>
      <c r="Q50" s="405">
        <f t="shared" si="9"/>
        <v>-0.247</v>
      </c>
      <c r="R50" s="348">
        <v>41960</v>
      </c>
      <c r="S50" s="348">
        <v>42190</v>
      </c>
      <c r="T50" s="353">
        <f t="shared" si="10"/>
        <v>-233.03913043478263</v>
      </c>
      <c r="V50" s="508"/>
      <c r="W50" s="509"/>
    </row>
    <row r="51" spans="9:23" x14ac:dyDescent="0.25">
      <c r="I51" s="334" t="s">
        <v>1006</v>
      </c>
      <c r="J51" s="337" t="s">
        <v>1829</v>
      </c>
      <c r="K51" s="335">
        <v>1836000</v>
      </c>
      <c r="L51" s="335">
        <v>0</v>
      </c>
      <c r="M51" s="335">
        <v>1800000</v>
      </c>
      <c r="N51" s="335">
        <f>M51-1674000</f>
        <v>126000</v>
      </c>
      <c r="O51" s="335">
        <f t="shared" si="7"/>
        <v>-162000</v>
      </c>
      <c r="P51" s="335">
        <f t="shared" si="8"/>
        <v>0</v>
      </c>
      <c r="Q51" s="405">
        <f t="shared" si="9"/>
        <v>-8.8235294117647065E-2</v>
      </c>
      <c r="R51" s="348">
        <v>41850</v>
      </c>
      <c r="S51" s="348">
        <v>42014</v>
      </c>
      <c r="T51" s="353">
        <f t="shared" si="10"/>
        <v>-6914.6341463414637</v>
      </c>
      <c r="V51" s="508"/>
      <c r="W51" s="509"/>
    </row>
    <row r="52" spans="9:23" x14ac:dyDescent="0.25">
      <c r="I52" s="334" t="s">
        <v>1006</v>
      </c>
      <c r="J52" s="337" t="s">
        <v>1685</v>
      </c>
      <c r="K52" s="335">
        <v>816000</v>
      </c>
      <c r="L52" s="335">
        <v>0</v>
      </c>
      <c r="M52" s="335">
        <v>595000</v>
      </c>
      <c r="N52" s="335">
        <f>M52-553350</f>
        <v>41650</v>
      </c>
      <c r="O52" s="335">
        <f t="shared" si="7"/>
        <v>-262650</v>
      </c>
      <c r="P52" s="335">
        <f t="shared" si="8"/>
        <v>0</v>
      </c>
      <c r="Q52" s="405">
        <f t="shared" si="9"/>
        <v>-0.32187500000000002</v>
      </c>
      <c r="R52" s="348">
        <v>41624</v>
      </c>
      <c r="S52" s="348">
        <v>41986</v>
      </c>
      <c r="T52" s="353">
        <f t="shared" si="10"/>
        <v>-5078.8674033149173</v>
      </c>
      <c r="V52" s="508"/>
      <c r="W52" s="509"/>
    </row>
    <row r="53" spans="9:23" x14ac:dyDescent="0.25">
      <c r="I53" s="334" t="s">
        <v>1006</v>
      </c>
      <c r="J53" s="337" t="s">
        <v>1777</v>
      </c>
      <c r="K53" s="335">
        <v>1269044</v>
      </c>
      <c r="L53" s="335">
        <v>0</v>
      </c>
      <c r="M53" s="335">
        <v>850000</v>
      </c>
      <c r="N53" s="335">
        <f>M53-799500</f>
        <v>50500</v>
      </c>
      <c r="O53" s="335">
        <f t="shared" si="7"/>
        <v>-469544</v>
      </c>
      <c r="P53" s="335">
        <f t="shared" si="8"/>
        <v>0</v>
      </c>
      <c r="Q53" s="405">
        <f t="shared" si="9"/>
        <v>-0.36999820337198708</v>
      </c>
      <c r="R53" s="348">
        <v>41776</v>
      </c>
      <c r="S53" s="348">
        <v>42056</v>
      </c>
      <c r="T53" s="353">
        <f t="shared" si="10"/>
        <v>-11738.6</v>
      </c>
      <c r="W53" s="509"/>
    </row>
    <row r="54" spans="9:23" x14ac:dyDescent="0.25">
      <c r="I54" s="334" t="s">
        <v>1006</v>
      </c>
      <c r="J54" s="337" t="s">
        <v>2040</v>
      </c>
      <c r="K54" s="335">
        <v>194820</v>
      </c>
      <c r="L54" s="335">
        <v>45740</v>
      </c>
      <c r="M54" s="335">
        <v>403000</v>
      </c>
      <c r="N54" s="335">
        <f>M54-348111</f>
        <v>54889</v>
      </c>
      <c r="O54" s="335">
        <f t="shared" ref="O54:O55" si="11">IF(M54=0,0,M54-K54)-N54</f>
        <v>153291</v>
      </c>
      <c r="P54" s="335">
        <f t="shared" ref="P54:P55" si="12">IF(M54=0,K54,0)</f>
        <v>0</v>
      </c>
      <c r="Q54" s="405">
        <f t="shared" si="9"/>
        <v>0.78683400061595321</v>
      </c>
      <c r="R54" s="348">
        <v>42060</v>
      </c>
      <c r="S54" s="348">
        <v>42070</v>
      </c>
      <c r="T54" s="353">
        <f t="shared" si="10"/>
        <v>107303.7</v>
      </c>
    </row>
    <row r="55" spans="9:23" x14ac:dyDescent="0.25">
      <c r="I55" s="187" t="s">
        <v>1004</v>
      </c>
      <c r="J55" s="336" t="s">
        <v>2041</v>
      </c>
      <c r="K55" s="333">
        <v>40000</v>
      </c>
      <c r="L55" s="333">
        <v>1908</v>
      </c>
      <c r="M55" s="333">
        <v>0</v>
      </c>
      <c r="N55" s="333">
        <v>0</v>
      </c>
      <c r="O55" s="343">
        <f t="shared" si="11"/>
        <v>0</v>
      </c>
      <c r="P55" s="333">
        <f t="shared" si="12"/>
        <v>40000</v>
      </c>
      <c r="Q55" s="403"/>
      <c r="R55" s="347">
        <v>41974</v>
      </c>
      <c r="S55" s="347"/>
      <c r="T55" s="344"/>
    </row>
    <row r="56" spans="9:23" x14ac:dyDescent="0.25">
      <c r="I56" s="187" t="s">
        <v>1004</v>
      </c>
      <c r="J56" s="336" t="s">
        <v>2043</v>
      </c>
      <c r="K56" s="333">
        <v>24000</v>
      </c>
      <c r="L56" s="333">
        <v>1510</v>
      </c>
      <c r="M56" s="333">
        <v>0</v>
      </c>
      <c r="N56" s="333">
        <v>0</v>
      </c>
      <c r="O56" s="343">
        <f t="shared" ref="O56:O57" si="13">IF(M56=0,0,M56-K56)-N56</f>
        <v>0</v>
      </c>
      <c r="P56" s="333">
        <f t="shared" ref="P56:P57" si="14">IF(M56=0,K56,0)</f>
        <v>24000</v>
      </c>
      <c r="Q56" s="403"/>
      <c r="R56" s="347">
        <v>42066</v>
      </c>
      <c r="S56" s="347"/>
      <c r="T56" s="344"/>
    </row>
    <row r="57" spans="9:23" x14ac:dyDescent="0.25">
      <c r="I57" s="187" t="s">
        <v>1005</v>
      </c>
      <c r="J57" s="336" t="s">
        <v>2044</v>
      </c>
      <c r="K57" s="333">
        <v>2000</v>
      </c>
      <c r="L57" s="333">
        <v>756</v>
      </c>
      <c r="M57" s="333">
        <v>0</v>
      </c>
      <c r="N57" s="333">
        <v>0</v>
      </c>
      <c r="O57" s="343">
        <f t="shared" si="13"/>
        <v>0</v>
      </c>
      <c r="P57" s="333">
        <f t="shared" si="14"/>
        <v>2000</v>
      </c>
      <c r="Q57" s="403"/>
      <c r="R57" s="347">
        <v>42066</v>
      </c>
      <c r="S57" s="347"/>
      <c r="T57" s="344"/>
    </row>
    <row r="58" spans="9:23" x14ac:dyDescent="0.25">
      <c r="I58" s="187" t="s">
        <v>1005</v>
      </c>
      <c r="J58" s="336" t="s">
        <v>2045</v>
      </c>
      <c r="K58" s="333">
        <v>2000</v>
      </c>
      <c r="L58" s="333">
        <v>612</v>
      </c>
      <c r="M58" s="333">
        <v>0</v>
      </c>
      <c r="N58" s="333">
        <v>0</v>
      </c>
      <c r="O58" s="343">
        <f t="shared" ref="O58" si="15">IF(M58=0,0,M58-K58)-N58</f>
        <v>0</v>
      </c>
      <c r="P58" s="333">
        <f t="shared" ref="P58" si="16">IF(M58=0,K58,0)</f>
        <v>2000</v>
      </c>
      <c r="Q58" s="403"/>
      <c r="R58" s="347">
        <v>42066</v>
      </c>
      <c r="S58" s="347"/>
      <c r="T58" s="344"/>
    </row>
    <row r="59" spans="9:23" x14ac:dyDescent="0.25">
      <c r="I59" s="187" t="s">
        <v>1005</v>
      </c>
      <c r="J59" s="336" t="s">
        <v>2046</v>
      </c>
      <c r="K59" s="333">
        <v>10000</v>
      </c>
      <c r="L59" s="333">
        <v>530</v>
      </c>
      <c r="M59" s="333">
        <v>0</v>
      </c>
      <c r="N59" s="333">
        <v>0</v>
      </c>
      <c r="O59" s="343">
        <f t="shared" ref="O59" si="17">IF(M59=0,0,M59-K59)-N59</f>
        <v>0</v>
      </c>
      <c r="P59" s="333">
        <f t="shared" ref="P59" si="18">IF(M59=0,K59,0)</f>
        <v>10000</v>
      </c>
      <c r="Q59" s="403"/>
      <c r="R59" s="347">
        <v>42067</v>
      </c>
      <c r="S59" s="347"/>
      <c r="T59" s="344"/>
    </row>
    <row r="60" spans="9:23" x14ac:dyDescent="0.25">
      <c r="I60" s="187" t="s">
        <v>1005</v>
      </c>
      <c r="J60" s="336" t="s">
        <v>2047</v>
      </c>
      <c r="K60" s="333">
        <v>1000</v>
      </c>
      <c r="L60" s="333">
        <v>828</v>
      </c>
      <c r="M60" s="333">
        <v>0</v>
      </c>
      <c r="N60" s="333">
        <v>0</v>
      </c>
      <c r="O60" s="343">
        <f t="shared" ref="O60" si="19">IF(M60=0,0,M60-K60)-N60</f>
        <v>0</v>
      </c>
      <c r="P60" s="333">
        <f t="shared" ref="P60" si="20">IF(M60=0,K60,0)</f>
        <v>1000</v>
      </c>
      <c r="Q60" s="403"/>
      <c r="R60" s="347">
        <v>42068</v>
      </c>
      <c r="S60" s="347"/>
      <c r="T60" s="344"/>
    </row>
    <row r="61" spans="9:23" x14ac:dyDescent="0.25">
      <c r="I61" s="187" t="s">
        <v>1005</v>
      </c>
      <c r="J61" s="336" t="s">
        <v>2048</v>
      </c>
      <c r="K61" s="333">
        <v>1000</v>
      </c>
      <c r="L61" s="333">
        <v>852</v>
      </c>
      <c r="M61" s="333">
        <v>0</v>
      </c>
      <c r="N61" s="333">
        <v>0</v>
      </c>
      <c r="O61" s="343">
        <f t="shared" ref="O61" si="21">IF(M61=0,0,M61-K61)-N61</f>
        <v>0</v>
      </c>
      <c r="P61" s="333">
        <f t="shared" ref="P61" si="22">IF(M61=0,K61,0)</f>
        <v>1000</v>
      </c>
      <c r="Q61" s="403"/>
      <c r="R61" s="347">
        <v>42068</v>
      </c>
      <c r="S61" s="347"/>
      <c r="T61" s="344"/>
    </row>
    <row r="62" spans="9:23" x14ac:dyDescent="0.25">
      <c r="I62" s="187" t="s">
        <v>1005</v>
      </c>
      <c r="J62" s="336" t="s">
        <v>2049</v>
      </c>
      <c r="K62" s="333">
        <v>32000</v>
      </c>
      <c r="L62" s="333">
        <v>804</v>
      </c>
      <c r="M62" s="333">
        <v>0</v>
      </c>
      <c r="N62" s="333">
        <v>0</v>
      </c>
      <c r="O62" s="343">
        <f t="shared" ref="O62" si="23">IF(M62=0,0,M62-K62)-N62</f>
        <v>0</v>
      </c>
      <c r="P62" s="333">
        <f t="shared" ref="P62" si="24">IF(M62=0,K62,0)</f>
        <v>32000</v>
      </c>
      <c r="Q62" s="403"/>
      <c r="R62" s="347">
        <v>42068</v>
      </c>
      <c r="S62" s="347"/>
      <c r="T62" s="344"/>
    </row>
    <row r="63" spans="9:23" x14ac:dyDescent="0.25">
      <c r="I63" s="187" t="s">
        <v>1005</v>
      </c>
      <c r="J63" s="336" t="s">
        <v>2050</v>
      </c>
      <c r="K63" s="333">
        <v>2000</v>
      </c>
      <c r="L63" s="333">
        <v>516</v>
      </c>
      <c r="M63" s="333">
        <v>0</v>
      </c>
      <c r="N63" s="333">
        <v>0</v>
      </c>
      <c r="O63" s="343">
        <f t="shared" ref="O63" si="25">IF(M63=0,0,M63-K63)-N63</f>
        <v>0</v>
      </c>
      <c r="P63" s="333">
        <f t="shared" ref="P63" si="26">IF(M63=0,K63,0)</f>
        <v>2000</v>
      </c>
      <c r="Q63" s="403"/>
      <c r="R63" s="347">
        <v>42068</v>
      </c>
      <c r="S63" s="347"/>
      <c r="T63" s="344"/>
    </row>
    <row r="64" spans="9:23" x14ac:dyDescent="0.25">
      <c r="I64" s="187" t="s">
        <v>1005</v>
      </c>
      <c r="J64" s="336" t="s">
        <v>2051</v>
      </c>
      <c r="K64" s="333">
        <v>30000</v>
      </c>
      <c r="L64" s="333">
        <v>670</v>
      </c>
      <c r="M64" s="333">
        <v>0</v>
      </c>
      <c r="N64" s="333">
        <v>0</v>
      </c>
      <c r="O64" s="343">
        <f t="shared" ref="O64" si="27">IF(M64=0,0,M64-K64)-N64</f>
        <v>0</v>
      </c>
      <c r="P64" s="333">
        <f t="shared" ref="P64" si="28">IF(M64=0,K64,0)</f>
        <v>30000</v>
      </c>
      <c r="Q64" s="403"/>
      <c r="R64" s="347">
        <v>42071</v>
      </c>
      <c r="S64" s="347"/>
      <c r="T64" s="344"/>
    </row>
    <row r="65" spans="9:20" x14ac:dyDescent="0.25">
      <c r="I65" s="187" t="s">
        <v>1005</v>
      </c>
      <c r="J65" s="336" t="s">
        <v>2052</v>
      </c>
      <c r="K65" s="333">
        <v>5000</v>
      </c>
      <c r="L65" s="333">
        <v>684</v>
      </c>
      <c r="M65" s="333">
        <v>0</v>
      </c>
      <c r="N65" s="333">
        <v>0</v>
      </c>
      <c r="O65" s="343">
        <f t="shared" ref="O65" si="29">IF(M65=0,0,M65-K65)-N65</f>
        <v>0</v>
      </c>
      <c r="P65" s="333">
        <f t="shared" ref="P65" si="30">IF(M65=0,K65,0)</f>
        <v>5000</v>
      </c>
      <c r="Q65" s="403"/>
      <c r="R65" s="347">
        <v>42072</v>
      </c>
      <c r="S65" s="347"/>
      <c r="T65" s="344"/>
    </row>
    <row r="66" spans="9:20" x14ac:dyDescent="0.25">
      <c r="I66" s="187" t="s">
        <v>1005</v>
      </c>
      <c r="J66" s="336" t="s">
        <v>2053</v>
      </c>
      <c r="K66" s="333">
        <v>10000</v>
      </c>
      <c r="L66" s="333">
        <v>492</v>
      </c>
      <c r="M66" s="333">
        <v>0</v>
      </c>
      <c r="N66" s="333">
        <v>0</v>
      </c>
      <c r="O66" s="343">
        <f t="shared" ref="O66:O67" si="31">IF(M66=0,0,M66-K66)-N66</f>
        <v>0</v>
      </c>
      <c r="P66" s="333">
        <f t="shared" ref="P66:P67" si="32">IF(M66=0,K66,0)</f>
        <v>10000</v>
      </c>
      <c r="Q66" s="403"/>
      <c r="R66" s="347">
        <v>42072</v>
      </c>
      <c r="S66" s="347"/>
      <c r="T66" s="344"/>
    </row>
    <row r="67" spans="9:20" x14ac:dyDescent="0.25">
      <c r="I67" s="187" t="s">
        <v>1005</v>
      </c>
      <c r="J67" s="336" t="s">
        <v>2054</v>
      </c>
      <c r="K67" s="333">
        <v>35000</v>
      </c>
      <c r="L67" s="333">
        <v>612</v>
      </c>
      <c r="M67" s="333">
        <v>0</v>
      </c>
      <c r="N67" s="333">
        <v>0</v>
      </c>
      <c r="O67" s="343">
        <f t="shared" si="31"/>
        <v>0</v>
      </c>
      <c r="P67" s="333">
        <f t="shared" si="32"/>
        <v>35000</v>
      </c>
      <c r="Q67" s="403"/>
      <c r="R67" s="347">
        <v>42072</v>
      </c>
      <c r="S67" s="347"/>
      <c r="T67" s="344"/>
    </row>
    <row r="68" spans="9:20" x14ac:dyDescent="0.25">
      <c r="I68" s="187" t="s">
        <v>1005</v>
      </c>
      <c r="J68" s="336" t="s">
        <v>2055</v>
      </c>
      <c r="K68" s="333">
        <v>30000</v>
      </c>
      <c r="L68" s="333">
        <v>756</v>
      </c>
      <c r="M68" s="333">
        <v>0</v>
      </c>
      <c r="N68" s="333">
        <v>0</v>
      </c>
      <c r="O68" s="343">
        <f t="shared" ref="O68" si="33">IF(M68=0,0,M68-K68)-N68</f>
        <v>0</v>
      </c>
      <c r="P68" s="333">
        <f t="shared" ref="P68" si="34">IF(M68=0,K68,0)</f>
        <v>30000</v>
      </c>
      <c r="Q68" s="403"/>
      <c r="R68" s="347">
        <v>42072</v>
      </c>
      <c r="S68" s="347"/>
      <c r="T68" s="344"/>
    </row>
    <row r="69" spans="9:20" x14ac:dyDescent="0.25">
      <c r="I69" s="187" t="s">
        <v>1005</v>
      </c>
      <c r="J69" s="336" t="s">
        <v>2056</v>
      </c>
      <c r="K69" s="333">
        <v>8000</v>
      </c>
      <c r="L69" s="333">
        <v>490</v>
      </c>
      <c r="M69" s="333">
        <v>0</v>
      </c>
      <c r="N69" s="333">
        <v>0</v>
      </c>
      <c r="O69" s="343">
        <f t="shared" ref="O69" si="35">IF(M69=0,0,M69-K69)-N69</f>
        <v>0</v>
      </c>
      <c r="P69" s="333">
        <f t="shared" ref="P69" si="36">IF(M69=0,K69,0)</f>
        <v>8000</v>
      </c>
      <c r="Q69" s="403"/>
      <c r="R69" s="347">
        <v>42072</v>
      </c>
      <c r="S69" s="347"/>
      <c r="T69" s="344"/>
    </row>
    <row r="70" spans="9:20" x14ac:dyDescent="0.25">
      <c r="I70" s="187" t="s">
        <v>1005</v>
      </c>
      <c r="J70" s="336" t="s">
        <v>2057</v>
      </c>
      <c r="K70" s="333">
        <v>5000</v>
      </c>
      <c r="L70" s="333">
        <v>444</v>
      </c>
      <c r="M70" s="333">
        <v>0</v>
      </c>
      <c r="N70" s="333">
        <v>0</v>
      </c>
      <c r="O70" s="343">
        <f t="shared" ref="O70" si="37">IF(M70=0,0,M70-K70)-N70</f>
        <v>0</v>
      </c>
      <c r="P70" s="333">
        <f t="shared" ref="P70" si="38">IF(M70=0,K70,0)</f>
        <v>5000</v>
      </c>
      <c r="Q70" s="403"/>
      <c r="R70" s="347">
        <v>42072</v>
      </c>
      <c r="S70" s="347"/>
      <c r="T70" s="344"/>
    </row>
    <row r="71" spans="9:20" x14ac:dyDescent="0.25">
      <c r="I71" s="187" t="s">
        <v>1005</v>
      </c>
      <c r="J71" s="336" t="s">
        <v>2058</v>
      </c>
      <c r="K71" s="333">
        <v>1000</v>
      </c>
      <c r="L71" s="333">
        <v>516</v>
      </c>
      <c r="M71" s="333">
        <v>0</v>
      </c>
      <c r="N71" s="333">
        <v>0</v>
      </c>
      <c r="O71" s="343">
        <f t="shared" ref="O71" si="39">IF(M71=0,0,M71-K71)-N71</f>
        <v>0</v>
      </c>
      <c r="P71" s="333">
        <f t="shared" ref="P71" si="40">IF(M71=0,K71,0)</f>
        <v>1000</v>
      </c>
      <c r="Q71" s="403"/>
      <c r="R71" s="347">
        <v>42073</v>
      </c>
      <c r="S71" s="347"/>
      <c r="T71" s="344"/>
    </row>
    <row r="72" spans="9:20" x14ac:dyDescent="0.25">
      <c r="I72" s="187" t="s">
        <v>1005</v>
      </c>
      <c r="J72" s="336" t="s">
        <v>2059</v>
      </c>
      <c r="K72" s="333">
        <v>7000</v>
      </c>
      <c r="L72" s="333">
        <v>444</v>
      </c>
      <c r="M72" s="333">
        <v>0</v>
      </c>
      <c r="N72" s="333">
        <v>0</v>
      </c>
      <c r="O72" s="343">
        <f t="shared" ref="O72:O75" si="41">IF(M72=0,0,M72-K72)-N72</f>
        <v>0</v>
      </c>
      <c r="P72" s="333">
        <f t="shared" ref="P72:P75" si="42">IF(M72=0,K72,0)</f>
        <v>7000</v>
      </c>
      <c r="Q72" s="403"/>
      <c r="R72" s="347">
        <v>42073</v>
      </c>
      <c r="S72" s="347"/>
      <c r="T72" s="344"/>
    </row>
    <row r="73" spans="9:20" x14ac:dyDescent="0.25">
      <c r="I73" s="187" t="s">
        <v>1005</v>
      </c>
      <c r="J73" s="336" t="s">
        <v>2060</v>
      </c>
      <c r="K73" s="333">
        <v>35000</v>
      </c>
      <c r="L73" s="333">
        <v>708</v>
      </c>
      <c r="M73" s="333">
        <v>0</v>
      </c>
      <c r="N73" s="333">
        <v>0</v>
      </c>
      <c r="O73" s="343">
        <f t="shared" si="41"/>
        <v>0</v>
      </c>
      <c r="P73" s="333">
        <f t="shared" si="42"/>
        <v>35000</v>
      </c>
      <c r="Q73" s="403"/>
      <c r="R73" s="347">
        <v>42073</v>
      </c>
      <c r="S73" s="347"/>
      <c r="T73" s="344"/>
    </row>
    <row r="74" spans="9:20" x14ac:dyDescent="0.25">
      <c r="I74" s="187" t="s">
        <v>1005</v>
      </c>
      <c r="J74" s="336" t="s">
        <v>2061</v>
      </c>
      <c r="K74" s="333">
        <v>10000</v>
      </c>
      <c r="L74" s="333">
        <v>570</v>
      </c>
      <c r="M74" s="333">
        <v>0</v>
      </c>
      <c r="N74" s="333">
        <v>0</v>
      </c>
      <c r="O74" s="343">
        <f t="shared" si="41"/>
        <v>0</v>
      </c>
      <c r="P74" s="333">
        <f t="shared" si="42"/>
        <v>10000</v>
      </c>
      <c r="Q74" s="403"/>
      <c r="R74" s="347">
        <v>42073</v>
      </c>
      <c r="S74" s="347"/>
      <c r="T74" s="344"/>
    </row>
    <row r="75" spans="9:20" x14ac:dyDescent="0.25">
      <c r="I75" s="187" t="s">
        <v>1005</v>
      </c>
      <c r="J75" s="336" t="s">
        <v>2062</v>
      </c>
      <c r="K75" s="333">
        <v>5000</v>
      </c>
      <c r="L75" s="333">
        <v>470</v>
      </c>
      <c r="M75" s="333">
        <v>0</v>
      </c>
      <c r="N75" s="333">
        <v>0</v>
      </c>
      <c r="O75" s="343">
        <f t="shared" si="41"/>
        <v>0</v>
      </c>
      <c r="P75" s="333">
        <f t="shared" si="42"/>
        <v>5000</v>
      </c>
      <c r="Q75" s="403"/>
      <c r="R75" s="347">
        <v>42073</v>
      </c>
      <c r="S75" s="347"/>
      <c r="T75" s="344"/>
    </row>
    <row r="76" spans="9:20" x14ac:dyDescent="0.25">
      <c r="I76" s="187" t="s">
        <v>1005</v>
      </c>
      <c r="J76" s="336" t="s">
        <v>2063</v>
      </c>
      <c r="K76" s="333">
        <v>290700</v>
      </c>
      <c r="L76" s="333">
        <v>1476</v>
      </c>
      <c r="M76" s="333">
        <v>0</v>
      </c>
      <c r="N76" s="333">
        <v>0</v>
      </c>
      <c r="O76" s="343">
        <f t="shared" ref="O76" si="43">IF(M76=0,0,M76-K76)-N76</f>
        <v>0</v>
      </c>
      <c r="P76" s="333">
        <f t="shared" ref="P76" si="44">IF(M76=0,K76,0)</f>
        <v>290700</v>
      </c>
      <c r="Q76" s="403"/>
      <c r="R76" s="347">
        <v>42074</v>
      </c>
      <c r="S76" s="347"/>
      <c r="T76" s="344"/>
    </row>
    <row r="77" spans="9:20" x14ac:dyDescent="0.25">
      <c r="I77" s="187" t="s">
        <v>1005</v>
      </c>
      <c r="J77" s="336" t="s">
        <v>2064</v>
      </c>
      <c r="K77" s="333">
        <v>36000</v>
      </c>
      <c r="L77" s="333">
        <v>924</v>
      </c>
      <c r="M77" s="333">
        <v>0</v>
      </c>
      <c r="N77" s="333">
        <v>0</v>
      </c>
      <c r="O77" s="343">
        <f t="shared" ref="O77" si="45">IF(M77=0,0,M77-K77)-N77</f>
        <v>0</v>
      </c>
      <c r="P77" s="333">
        <f t="shared" ref="P77" si="46">IF(M77=0,K77,0)</f>
        <v>36000</v>
      </c>
      <c r="Q77" s="403"/>
      <c r="R77" s="347">
        <v>42074</v>
      </c>
      <c r="S77" s="347"/>
      <c r="T77" s="344"/>
    </row>
  </sheetData>
  <autoFilter ref="I3:T33"/>
  <sortState ref="I4:T53">
    <sortCondition descending="1" ref="O4:O53"/>
  </sortState>
  <mergeCells count="5">
    <mergeCell ref="B2:G2"/>
    <mergeCell ref="I2:T2"/>
    <mergeCell ref="B3:G3"/>
    <mergeCell ref="B4:C4"/>
    <mergeCell ref="E4:F4"/>
  </mergeCells>
  <conditionalFormatting sqref="F12:F17 O4:O51 Q4:Q51 T4:T51">
    <cfRule type="cellIs" dxfId="1482" priority="333" operator="lessThan">
      <formula>0</formula>
    </cfRule>
    <cfRule type="cellIs" dxfId="1481" priority="334" operator="greaterThan">
      <formula>0</formula>
    </cfRule>
  </conditionalFormatting>
  <conditionalFormatting sqref="O52 Q52 T52">
    <cfRule type="cellIs" dxfId="1480" priority="57" operator="lessThan">
      <formula>0</formula>
    </cfRule>
    <cfRule type="cellIs" dxfId="1479" priority="58" operator="greaterThan">
      <formula>0</formula>
    </cfRule>
  </conditionalFormatting>
  <conditionalFormatting sqref="O53 Q53 T53">
    <cfRule type="cellIs" dxfId="1478" priority="55" operator="lessThan">
      <formula>0</formula>
    </cfRule>
    <cfRule type="cellIs" dxfId="1477" priority="56" operator="greaterThan">
      <formula>0</formula>
    </cfRule>
  </conditionalFormatting>
  <conditionalFormatting sqref="O54">
    <cfRule type="cellIs" dxfId="1476" priority="53" operator="lessThan">
      <formula>0</formula>
    </cfRule>
    <cfRule type="cellIs" dxfId="1475" priority="54" operator="greaterThan">
      <formula>0</formula>
    </cfRule>
  </conditionalFormatting>
  <conditionalFormatting sqref="O55 Q55 T55">
    <cfRule type="cellIs" dxfId="1474" priority="51" operator="lessThan">
      <formula>0</formula>
    </cfRule>
    <cfRule type="cellIs" dxfId="1473" priority="52" operator="greaterThan">
      <formula>0</formula>
    </cfRule>
  </conditionalFormatting>
  <conditionalFormatting sqref="O56 Q56 T56">
    <cfRule type="cellIs" dxfId="1472" priority="49" operator="lessThan">
      <formula>0</formula>
    </cfRule>
    <cfRule type="cellIs" dxfId="1471" priority="50" operator="greaterThan">
      <formula>0</formula>
    </cfRule>
  </conditionalFormatting>
  <conditionalFormatting sqref="O57 Q57 T57">
    <cfRule type="cellIs" dxfId="1470" priority="47" operator="lessThan">
      <formula>0</formula>
    </cfRule>
    <cfRule type="cellIs" dxfId="1469" priority="48" operator="greaterThan">
      <formula>0</formula>
    </cfRule>
  </conditionalFormatting>
  <conditionalFormatting sqref="O58 Q58 T58">
    <cfRule type="cellIs" dxfId="1468" priority="45" operator="lessThan">
      <formula>0</formula>
    </cfRule>
    <cfRule type="cellIs" dxfId="1467" priority="46" operator="greaterThan">
      <formula>0</formula>
    </cfRule>
  </conditionalFormatting>
  <conditionalFormatting sqref="O59 Q59 T59">
    <cfRule type="cellIs" dxfId="1466" priority="43" operator="lessThan">
      <formula>0</formula>
    </cfRule>
    <cfRule type="cellIs" dxfId="1465" priority="44" operator="greaterThan">
      <formula>0</formula>
    </cfRule>
  </conditionalFormatting>
  <conditionalFormatting sqref="O60 Q60 T60">
    <cfRule type="cellIs" dxfId="1464" priority="41" operator="lessThan">
      <formula>0</formula>
    </cfRule>
    <cfRule type="cellIs" dxfId="1463" priority="42" operator="greaterThan">
      <formula>0</formula>
    </cfRule>
  </conditionalFormatting>
  <conditionalFormatting sqref="O61 Q61 T61">
    <cfRule type="cellIs" dxfId="1462" priority="39" operator="lessThan">
      <formula>0</formula>
    </cfRule>
    <cfRule type="cellIs" dxfId="1461" priority="40" operator="greaterThan">
      <formula>0</formula>
    </cfRule>
  </conditionalFormatting>
  <conditionalFormatting sqref="O62 Q62 T62">
    <cfRule type="cellIs" dxfId="1460" priority="37" operator="lessThan">
      <formula>0</formula>
    </cfRule>
    <cfRule type="cellIs" dxfId="1459" priority="38" operator="greaterThan">
      <formula>0</formula>
    </cfRule>
  </conditionalFormatting>
  <conditionalFormatting sqref="O63 Q63 T63">
    <cfRule type="cellIs" dxfId="1458" priority="35" operator="lessThan">
      <formula>0</formula>
    </cfRule>
    <cfRule type="cellIs" dxfId="1457" priority="36" operator="greaterThan">
      <formula>0</formula>
    </cfRule>
  </conditionalFormatting>
  <conditionalFormatting sqref="Q54">
    <cfRule type="cellIs" dxfId="1456" priority="33" operator="lessThan">
      <formula>0</formula>
    </cfRule>
    <cfRule type="cellIs" dxfId="1455" priority="34" operator="greaterThan">
      <formula>0</formula>
    </cfRule>
  </conditionalFormatting>
  <conditionalFormatting sqref="T54">
    <cfRule type="cellIs" dxfId="1454" priority="31" operator="lessThan">
      <formula>0</formula>
    </cfRule>
    <cfRule type="cellIs" dxfId="1453" priority="32" operator="greaterThan">
      <formula>0</formula>
    </cfRule>
  </conditionalFormatting>
  <conditionalFormatting sqref="O64 Q64 T64">
    <cfRule type="cellIs" dxfId="1452" priority="29" operator="lessThan">
      <formula>0</formula>
    </cfRule>
    <cfRule type="cellIs" dxfId="1451" priority="30" operator="greaterThan">
      <formula>0</formula>
    </cfRule>
  </conditionalFormatting>
  <conditionalFormatting sqref="O65 Q65 T65">
    <cfRule type="cellIs" dxfId="1450" priority="27" operator="lessThan">
      <formula>0</formula>
    </cfRule>
    <cfRule type="cellIs" dxfId="1449" priority="28" operator="greaterThan">
      <formula>0</formula>
    </cfRule>
  </conditionalFormatting>
  <conditionalFormatting sqref="O66 Q66 T66">
    <cfRule type="cellIs" dxfId="1448" priority="23" operator="lessThan">
      <formula>0</formula>
    </cfRule>
    <cfRule type="cellIs" dxfId="1447" priority="24" operator="greaterThan">
      <formula>0</formula>
    </cfRule>
  </conditionalFormatting>
  <conditionalFormatting sqref="O67 Q67 T67">
    <cfRule type="cellIs" dxfId="1446" priority="21" operator="lessThan">
      <formula>0</formula>
    </cfRule>
    <cfRule type="cellIs" dxfId="1445" priority="22" operator="greaterThan">
      <formula>0</formula>
    </cfRule>
  </conditionalFormatting>
  <conditionalFormatting sqref="O68 Q68 T68">
    <cfRule type="cellIs" dxfId="1444" priority="19" operator="lessThan">
      <formula>0</formula>
    </cfRule>
    <cfRule type="cellIs" dxfId="1443" priority="20" operator="greaterThan">
      <formula>0</formula>
    </cfRule>
  </conditionalFormatting>
  <conditionalFormatting sqref="O69 Q69 T69">
    <cfRule type="cellIs" dxfId="1442" priority="17" operator="lessThan">
      <formula>0</formula>
    </cfRule>
    <cfRule type="cellIs" dxfId="1441" priority="18" operator="greaterThan">
      <formula>0</formula>
    </cfRule>
  </conditionalFormatting>
  <conditionalFormatting sqref="O70 Q70 T70">
    <cfRule type="cellIs" dxfId="1440" priority="15" operator="lessThan">
      <formula>0</formula>
    </cfRule>
    <cfRule type="cellIs" dxfId="1439" priority="16" operator="greaterThan">
      <formula>0</formula>
    </cfRule>
  </conditionalFormatting>
  <conditionalFormatting sqref="O71 Q71 T71">
    <cfRule type="cellIs" dxfId="1438" priority="13" operator="lessThan">
      <formula>0</formula>
    </cfRule>
    <cfRule type="cellIs" dxfId="1437" priority="14" operator="greaterThan">
      <formula>0</formula>
    </cfRule>
  </conditionalFormatting>
  <conditionalFormatting sqref="O72 Q72 T72">
    <cfRule type="cellIs" dxfId="1436" priority="11" operator="lessThan">
      <formula>0</formula>
    </cfRule>
    <cfRule type="cellIs" dxfId="1435" priority="12" operator="greaterThan">
      <formula>0</formula>
    </cfRule>
  </conditionalFormatting>
  <conditionalFormatting sqref="O73 Q73 T73">
    <cfRule type="cellIs" dxfId="1434" priority="9" operator="lessThan">
      <formula>0</formula>
    </cfRule>
    <cfRule type="cellIs" dxfId="1433" priority="10" operator="greaterThan">
      <formula>0</formula>
    </cfRule>
  </conditionalFormatting>
  <conditionalFormatting sqref="O74 Q74 T74">
    <cfRule type="cellIs" dxfId="1432" priority="7" operator="lessThan">
      <formula>0</formula>
    </cfRule>
    <cfRule type="cellIs" dxfId="1431" priority="8" operator="greaterThan">
      <formula>0</formula>
    </cfRule>
  </conditionalFormatting>
  <conditionalFormatting sqref="O75 Q75 T75">
    <cfRule type="cellIs" dxfId="1430" priority="5" operator="lessThan">
      <formula>0</formula>
    </cfRule>
    <cfRule type="cellIs" dxfId="1429" priority="6" operator="greaterThan">
      <formula>0</formula>
    </cfRule>
  </conditionalFormatting>
  <conditionalFormatting sqref="O76 Q76 T76">
    <cfRule type="cellIs" dxfId="1428" priority="3" operator="lessThan">
      <formula>0</formula>
    </cfRule>
    <cfRule type="cellIs" dxfId="1427" priority="4" operator="greaterThan">
      <formula>0</formula>
    </cfRule>
  </conditionalFormatting>
  <conditionalFormatting sqref="O77 Q77 T77">
    <cfRule type="cellIs" dxfId="1426" priority="1" operator="lessThan">
      <formula>0</formula>
    </cfRule>
    <cfRule type="cellIs" dxfId="1425" priority="2" operator="greaterThan">
      <formula>0</formula>
    </cfRule>
  </conditionalFormatting>
  <pageMargins left="0.7" right="0.7" top="0.75" bottom="0.75" header="0.3" footer="0.3"/>
  <pageSetup paperSize="9" orientation="portrait"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V52"/>
  <sheetViews>
    <sheetView zoomScale="90" zoomScaleNormal="90" workbookViewId="0">
      <pane xSplit="3" ySplit="4" topLeftCell="G5" activePane="bottomRight" state="frozen"/>
      <selection pane="topRight" activeCell="D1" sqref="D1"/>
      <selection pane="bottomLeft" activeCell="A5" sqref="A5"/>
      <selection pane="bottomRight" activeCell="D7" sqref="D7:S7"/>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6.7109375" style="573" bestFit="1" customWidth="1"/>
    <col min="6" max="6" width="16.7109375" bestFit="1" customWidth="1"/>
    <col min="7" max="7" width="16.7109375" style="97" bestFit="1" customWidth="1"/>
    <col min="8" max="9" width="16.7109375" bestFit="1" customWidth="1"/>
    <col min="10" max="19" width="16.7109375" style="5" bestFit="1" customWidth="1"/>
    <col min="20" max="20" width="11.42578125" style="5"/>
    <col min="21" max="21" width="16.140625" style="5" customWidth="1"/>
    <col min="22" max="22" width="9.7109375" style="5" bestFit="1" customWidth="1"/>
    <col min="23" max="16384" width="11.42578125" style="5"/>
  </cols>
  <sheetData>
    <row r="1" spans="1:22" ht="23.25" x14ac:dyDescent="0.35">
      <c r="A1" s="156" t="s">
        <v>13</v>
      </c>
      <c r="B1" s="255"/>
      <c r="C1" s="255"/>
    </row>
    <row r="2" spans="1:22" s="178" customFormat="1" ht="12.75" x14ac:dyDescent="0.2">
      <c r="B2" s="297"/>
      <c r="C2" s="297"/>
      <c r="D2" s="181">
        <f>EconomiaT45!S2+7</f>
        <v>42077</v>
      </c>
      <c r="E2" s="181">
        <f>D2+7</f>
        <v>42084</v>
      </c>
      <c r="F2" s="181">
        <f t="shared" ref="F2:S2" si="0">E2+7</f>
        <v>42091</v>
      </c>
      <c r="G2" s="181">
        <f t="shared" si="0"/>
        <v>42098</v>
      </c>
      <c r="H2" s="181">
        <f t="shared" si="0"/>
        <v>42105</v>
      </c>
      <c r="I2" s="181">
        <f t="shared" si="0"/>
        <v>42112</v>
      </c>
      <c r="J2" s="181">
        <f t="shared" si="0"/>
        <v>42119</v>
      </c>
      <c r="K2" s="181">
        <f t="shared" si="0"/>
        <v>42126</v>
      </c>
      <c r="L2" s="181">
        <f t="shared" si="0"/>
        <v>42133</v>
      </c>
      <c r="M2" s="181">
        <f t="shared" si="0"/>
        <v>42140</v>
      </c>
      <c r="N2" s="181">
        <f t="shared" si="0"/>
        <v>42147</v>
      </c>
      <c r="O2" s="181">
        <f t="shared" si="0"/>
        <v>42154</v>
      </c>
      <c r="P2" s="181">
        <f t="shared" si="0"/>
        <v>42161</v>
      </c>
      <c r="Q2" s="181">
        <f t="shared" si="0"/>
        <v>42168</v>
      </c>
      <c r="R2" s="181">
        <f t="shared" si="0"/>
        <v>42175</v>
      </c>
      <c r="S2" s="181">
        <f t="shared" si="0"/>
        <v>42182</v>
      </c>
      <c r="T2" s="181"/>
    </row>
    <row r="3" spans="1:22" s="6" customFormat="1" x14ac:dyDescent="0.25">
      <c r="A3" s="27"/>
      <c r="B3" s="27"/>
      <c r="C3" s="298" t="s">
        <v>2067</v>
      </c>
      <c r="D3" s="148" t="s">
        <v>16</v>
      </c>
      <c r="E3" s="148" t="s">
        <v>715</v>
      </c>
      <c r="F3" s="148" t="s">
        <v>702</v>
      </c>
      <c r="G3" s="148" t="s">
        <v>703</v>
      </c>
      <c r="H3" s="148" t="s">
        <v>704</v>
      </c>
      <c r="I3" s="148" t="s">
        <v>705</v>
      </c>
      <c r="J3" s="148" t="s">
        <v>21</v>
      </c>
      <c r="K3" s="148" t="s">
        <v>22</v>
      </c>
      <c r="L3" s="148" t="s">
        <v>23</v>
      </c>
      <c r="M3" s="148" t="s">
        <v>17</v>
      </c>
      <c r="N3" s="148" t="s">
        <v>18</v>
      </c>
      <c r="O3" s="148" t="s">
        <v>24</v>
      </c>
      <c r="P3" s="148" t="s">
        <v>25</v>
      </c>
      <c r="Q3" s="148" t="s">
        <v>26</v>
      </c>
      <c r="R3" s="148" t="s">
        <v>27</v>
      </c>
      <c r="S3" s="148" t="s">
        <v>28</v>
      </c>
    </row>
    <row r="4" spans="1:22" s="6" customFormat="1" x14ac:dyDescent="0.25">
      <c r="A4" s="27"/>
      <c r="B4" s="298"/>
      <c r="C4" s="298" t="s">
        <v>42</v>
      </c>
      <c r="D4" s="215">
        <v>2735</v>
      </c>
      <c r="E4" s="215">
        <f>D4+(D11/30)</f>
        <v>2735</v>
      </c>
      <c r="F4" s="215">
        <f t="shared" ref="F4:R4" si="1">E4+(E11/30)</f>
        <v>2737</v>
      </c>
      <c r="G4" s="215">
        <f t="shared" si="1"/>
        <v>2741</v>
      </c>
      <c r="H4" s="215">
        <f>G4+(G11/30)-2</f>
        <v>2743</v>
      </c>
      <c r="I4" s="215">
        <f t="shared" si="1"/>
        <v>2747</v>
      </c>
      <c r="J4" s="215">
        <f t="shared" si="1"/>
        <v>2751</v>
      </c>
      <c r="K4" s="215">
        <f t="shared" si="1"/>
        <v>2754</v>
      </c>
      <c r="L4" s="215">
        <f t="shared" si="1"/>
        <v>2758</v>
      </c>
      <c r="M4" s="215">
        <f t="shared" si="1"/>
        <v>2760</v>
      </c>
      <c r="N4" s="215">
        <f t="shared" si="1"/>
        <v>2762</v>
      </c>
      <c r="O4" s="215">
        <f t="shared" si="1"/>
        <v>2764</v>
      </c>
      <c r="P4" s="215">
        <f t="shared" si="1"/>
        <v>2766</v>
      </c>
      <c r="Q4" s="215">
        <f>P4+(P11/30)-2</f>
        <v>2764</v>
      </c>
      <c r="R4" s="215">
        <f t="shared" si="1"/>
        <v>2764</v>
      </c>
      <c r="S4" s="215">
        <v>2744</v>
      </c>
    </row>
    <row r="5" spans="1:22" s="7" customFormat="1" ht="18.75" x14ac:dyDescent="0.3">
      <c r="A5" s="29" t="s">
        <v>12</v>
      </c>
      <c r="B5" s="29"/>
      <c r="C5" s="296">
        <f>EconomiaT45!S24</f>
        <v>2365913</v>
      </c>
      <c r="D5" s="197">
        <f>C5</f>
        <v>2365913</v>
      </c>
      <c r="E5" s="197">
        <f>D24</f>
        <v>650616</v>
      </c>
      <c r="F5" s="197">
        <f t="shared" ref="F5:S5" si="2">E24</f>
        <v>3443251</v>
      </c>
      <c r="G5" s="197">
        <f t="shared" si="2"/>
        <v>3319799</v>
      </c>
      <c r="H5" s="197">
        <f t="shared" si="2"/>
        <v>2084839</v>
      </c>
      <c r="I5" s="197">
        <f t="shared" si="2"/>
        <v>640987</v>
      </c>
      <c r="J5" s="197">
        <f t="shared" si="2"/>
        <v>1908203</v>
      </c>
      <c r="K5" s="197">
        <f t="shared" si="2"/>
        <v>716497</v>
      </c>
      <c r="L5" s="197">
        <f t="shared" si="2"/>
        <v>1266431</v>
      </c>
      <c r="M5" s="197">
        <f t="shared" si="2"/>
        <v>1575079</v>
      </c>
      <c r="N5" s="197">
        <f t="shared" si="2"/>
        <v>2962413</v>
      </c>
      <c r="O5" s="197">
        <f t="shared" si="2"/>
        <v>1837408</v>
      </c>
      <c r="P5" s="197">
        <f t="shared" si="2"/>
        <v>973189</v>
      </c>
      <c r="Q5" s="197">
        <f t="shared" si="2"/>
        <v>653629.61395717692</v>
      </c>
      <c r="R5" s="197">
        <f t="shared" si="2"/>
        <v>971857.22791435383</v>
      </c>
      <c r="S5" s="197">
        <f t="shared" si="2"/>
        <v>273232.22791435383</v>
      </c>
    </row>
    <row r="6" spans="1:22" x14ac:dyDescent="0.25">
      <c r="A6" s="8" t="s">
        <v>0</v>
      </c>
      <c r="B6" s="8" t="s">
        <v>0</v>
      </c>
      <c r="C6" s="199">
        <f>SUM(D6:S6)</f>
        <v>6599832</v>
      </c>
      <c r="D6" s="200">
        <v>47743</v>
      </c>
      <c r="E6" s="200">
        <f>501569+60036</f>
        <v>561605</v>
      </c>
      <c r="F6" s="200">
        <v>115970</v>
      </c>
      <c r="G6" s="200">
        <v>685932</v>
      </c>
      <c r="H6" s="200">
        <v>161623</v>
      </c>
      <c r="I6" s="200">
        <v>680590</v>
      </c>
      <c r="J6" s="200">
        <v>189210</v>
      </c>
      <c r="K6" s="200">
        <v>915705</v>
      </c>
      <c r="L6" s="200">
        <v>452238</v>
      </c>
      <c r="M6" s="200">
        <v>1160825</v>
      </c>
      <c r="N6" s="200">
        <v>10008</v>
      </c>
      <c r="O6" s="200">
        <f>631613+19744</f>
        <v>651357</v>
      </c>
      <c r="P6" s="200">
        <v>19428</v>
      </c>
      <c r="Q6" s="200">
        <f>641512+18000-354-73</f>
        <v>659085</v>
      </c>
      <c r="R6" s="200">
        <v>15672</v>
      </c>
      <c r="S6" s="200">
        <v>272841</v>
      </c>
      <c r="U6" s="8" t="s">
        <v>0</v>
      </c>
      <c r="V6" s="219">
        <f>C6/$C$13</f>
        <v>0.33874507371512191</v>
      </c>
    </row>
    <row r="7" spans="1:22" x14ac:dyDescent="0.25">
      <c r="A7" s="8" t="s">
        <v>2</v>
      </c>
      <c r="B7" s="8" t="s">
        <v>2</v>
      </c>
      <c r="C7" s="199">
        <f t="shared" ref="C7:C23" si="3">SUM(D7:S7)</f>
        <v>1904469.2279143538</v>
      </c>
      <c r="D7" s="202">
        <v>99165</v>
      </c>
      <c r="E7" s="202">
        <v>107305</v>
      </c>
      <c r="F7" s="202">
        <v>112855</v>
      </c>
      <c r="G7" s="202">
        <v>116555</v>
      </c>
      <c r="H7" s="202">
        <v>119145</v>
      </c>
      <c r="I7" s="202">
        <v>120625</v>
      </c>
      <c r="J7" s="202">
        <v>121735</v>
      </c>
      <c r="K7" s="202">
        <v>122290</v>
      </c>
      <c r="L7" s="202">
        <v>122660</v>
      </c>
      <c r="M7" s="202">
        <v>123030</v>
      </c>
      <c r="N7" s="202">
        <f>M7</f>
        <v>123030</v>
      </c>
      <c r="O7" s="202">
        <v>123215</v>
      </c>
      <c r="P7" s="202">
        <f>O7*(1+P42)+40</f>
        <v>123399.61395717683</v>
      </c>
      <c r="Q7" s="202">
        <f>P7</f>
        <v>123399.61395717683</v>
      </c>
      <c r="R7" s="202">
        <v>123215</v>
      </c>
      <c r="S7" s="202">
        <v>122845</v>
      </c>
      <c r="U7" s="8" t="s">
        <v>2</v>
      </c>
      <c r="V7" s="219">
        <f t="shared" ref="V7:V12" si="4">C7/$C$13</f>
        <v>9.7749392559996845E-2</v>
      </c>
    </row>
    <row r="8" spans="1:22" x14ac:dyDescent="0.25">
      <c r="A8" s="8" t="s">
        <v>3</v>
      </c>
      <c r="B8" s="8" t="s">
        <v>48</v>
      </c>
      <c r="C8" s="199">
        <f t="shared" si="3"/>
        <v>9173276</v>
      </c>
      <c r="D8" s="200">
        <v>91550</v>
      </c>
      <c r="E8" s="200">
        <v>4146715</v>
      </c>
      <c r="F8" s="200">
        <v>98992</v>
      </c>
      <c r="G8" s="200">
        <v>1301995</v>
      </c>
      <c r="H8" s="200">
        <v>1023000</v>
      </c>
      <c r="I8" s="200">
        <v>929995</v>
      </c>
      <c r="J8" s="200">
        <v>0</v>
      </c>
      <c r="K8" s="200">
        <v>0</v>
      </c>
      <c r="L8" s="200">
        <v>0</v>
      </c>
      <c r="M8" s="200">
        <v>390600</v>
      </c>
      <c r="N8" s="200">
        <v>930000</v>
      </c>
      <c r="O8" s="200">
        <v>0</v>
      </c>
      <c r="P8" s="200">
        <v>0</v>
      </c>
      <c r="Q8" s="200">
        <v>0</v>
      </c>
      <c r="R8" s="200">
        <v>0</v>
      </c>
      <c r="S8" s="200">
        <v>260429</v>
      </c>
      <c r="U8" s="8" t="s">
        <v>48</v>
      </c>
      <c r="V8" s="219">
        <f t="shared" si="4"/>
        <v>0.47083047793173499</v>
      </c>
    </row>
    <row r="9" spans="1:22" x14ac:dyDescent="0.25">
      <c r="A9" s="8"/>
      <c r="B9" s="8" t="s">
        <v>820</v>
      </c>
      <c r="C9" s="199">
        <f t="shared" si="3"/>
        <v>22800</v>
      </c>
      <c r="D9" s="200">
        <v>0</v>
      </c>
      <c r="E9" s="200">
        <v>0</v>
      </c>
      <c r="F9" s="200">
        <v>0</v>
      </c>
      <c r="G9" s="200">
        <v>0</v>
      </c>
      <c r="H9" s="200">
        <v>0</v>
      </c>
      <c r="I9" s="200">
        <v>0</v>
      </c>
      <c r="J9" s="200">
        <v>0</v>
      </c>
      <c r="K9" s="200">
        <v>0</v>
      </c>
      <c r="L9" s="200">
        <v>22800</v>
      </c>
      <c r="M9" s="200">
        <v>0</v>
      </c>
      <c r="N9" s="200">
        <v>0</v>
      </c>
      <c r="O9" s="200">
        <v>0</v>
      </c>
      <c r="P9" s="200">
        <v>0</v>
      </c>
      <c r="Q9" s="200">
        <v>0</v>
      </c>
      <c r="R9" s="200">
        <v>0</v>
      </c>
      <c r="S9" s="200">
        <v>0</v>
      </c>
      <c r="U9" s="8" t="s">
        <v>820</v>
      </c>
      <c r="V9" s="219">
        <f t="shared" si="4"/>
        <v>1.1702400425805959E-3</v>
      </c>
    </row>
    <row r="10" spans="1:22" x14ac:dyDescent="0.25">
      <c r="A10" s="8" t="s">
        <v>5</v>
      </c>
      <c r="B10" s="8" t="s">
        <v>5</v>
      </c>
      <c r="C10" s="199">
        <f t="shared" si="3"/>
        <v>589495</v>
      </c>
      <c r="D10" s="202">
        <v>40250</v>
      </c>
      <c r="E10" s="202">
        <v>0</v>
      </c>
      <c r="F10" s="202">
        <v>1050</v>
      </c>
      <c r="G10" s="202">
        <v>75</v>
      </c>
      <c r="H10" s="202">
        <v>59145</v>
      </c>
      <c r="I10" s="202">
        <v>251</v>
      </c>
      <c r="J10" s="202">
        <v>0</v>
      </c>
      <c r="K10" s="202">
        <v>0</v>
      </c>
      <c r="L10" s="202">
        <v>199071</v>
      </c>
      <c r="M10" s="202">
        <v>0</v>
      </c>
      <c r="N10" s="202">
        <v>34000</v>
      </c>
      <c r="O10" s="202">
        <v>82500</v>
      </c>
      <c r="P10" s="202">
        <v>17780</v>
      </c>
      <c r="Q10" s="202">
        <v>16318</v>
      </c>
      <c r="R10" s="202">
        <v>65455</v>
      </c>
      <c r="S10" s="202">
        <v>73600</v>
      </c>
      <c r="U10" s="8" t="s">
        <v>5</v>
      </c>
      <c r="V10" s="219">
        <f t="shared" si="4"/>
        <v>3.0256607627238963E-2</v>
      </c>
    </row>
    <row r="11" spans="1:22" x14ac:dyDescent="0.25">
      <c r="A11" s="728" t="s">
        <v>7</v>
      </c>
      <c r="B11" s="8" t="s">
        <v>42</v>
      </c>
      <c r="C11" s="199">
        <f t="shared" si="3"/>
        <v>83310</v>
      </c>
      <c r="D11" s="202">
        <v>0</v>
      </c>
      <c r="E11" s="202">
        <v>60</v>
      </c>
      <c r="F11" s="202">
        <v>120</v>
      </c>
      <c r="G11" s="202">
        <v>120</v>
      </c>
      <c r="H11" s="202">
        <v>120</v>
      </c>
      <c r="I11" s="202">
        <v>120</v>
      </c>
      <c r="J11" s="202">
        <v>90</v>
      </c>
      <c r="K11" s="202">
        <v>120</v>
      </c>
      <c r="L11" s="202">
        <v>60</v>
      </c>
      <c r="M11" s="202">
        <v>60</v>
      </c>
      <c r="N11" s="202">
        <v>60</v>
      </c>
      <c r="O11" s="202">
        <v>60</v>
      </c>
      <c r="P11" s="202">
        <v>0</v>
      </c>
      <c r="Q11" s="202">
        <v>0</v>
      </c>
      <c r="R11" s="202">
        <v>0</v>
      </c>
      <c r="S11" s="202">
        <f>S4*30</f>
        <v>82320</v>
      </c>
      <c r="U11" s="8" t="s">
        <v>19</v>
      </c>
      <c r="V11" s="219">
        <f t="shared" si="4"/>
        <v>4.2759955240083093E-3</v>
      </c>
    </row>
    <row r="12" spans="1:22" x14ac:dyDescent="0.25">
      <c r="A12" s="729"/>
      <c r="B12" s="8" t="s">
        <v>51</v>
      </c>
      <c r="C12" s="199">
        <f t="shared" si="3"/>
        <v>1110000</v>
      </c>
      <c r="D12" s="202">
        <v>0</v>
      </c>
      <c r="E12" s="202">
        <v>0</v>
      </c>
      <c r="F12" s="202">
        <v>0</v>
      </c>
      <c r="G12" s="202">
        <v>0</v>
      </c>
      <c r="H12" s="202">
        <v>0</v>
      </c>
      <c r="I12" s="202">
        <v>0</v>
      </c>
      <c r="J12" s="202">
        <v>0</v>
      </c>
      <c r="K12" s="202">
        <v>0</v>
      </c>
      <c r="L12" s="202">
        <v>0</v>
      </c>
      <c r="M12" s="202">
        <v>200000</v>
      </c>
      <c r="N12" s="202">
        <v>0</v>
      </c>
      <c r="O12" s="202">
        <v>0</v>
      </c>
      <c r="P12" s="202">
        <v>0</v>
      </c>
      <c r="Q12" s="202">
        <v>0</v>
      </c>
      <c r="R12" s="202">
        <v>10000</v>
      </c>
      <c r="S12" s="202">
        <v>900000</v>
      </c>
      <c r="U12" s="8" t="s">
        <v>51</v>
      </c>
      <c r="V12" s="219">
        <f t="shared" si="4"/>
        <v>5.6972212599318485E-2</v>
      </c>
    </row>
    <row r="13" spans="1:22" s="21" customFormat="1" ht="18.75" x14ac:dyDescent="0.3">
      <c r="A13" s="19" t="s">
        <v>14</v>
      </c>
      <c r="B13" s="20"/>
      <c r="C13" s="203">
        <f t="shared" si="3"/>
        <v>19483182.227914352</v>
      </c>
      <c r="D13" s="204">
        <f t="shared" ref="D13:I13" si="5">SUM(D6:D12)</f>
        <v>278708</v>
      </c>
      <c r="E13" s="204">
        <f t="shared" si="5"/>
        <v>4815685</v>
      </c>
      <c r="F13" s="204">
        <f t="shared" si="5"/>
        <v>328987</v>
      </c>
      <c r="G13" s="204">
        <f>G12+G11+G10+G9+G8+G7+G6</f>
        <v>2104677</v>
      </c>
      <c r="H13" s="204">
        <f t="shared" si="5"/>
        <v>1363033</v>
      </c>
      <c r="I13" s="204">
        <f t="shared" si="5"/>
        <v>1731581</v>
      </c>
      <c r="J13" s="204">
        <f t="shared" ref="J13:S13" si="6">SUM(J6:J12)</f>
        <v>311035</v>
      </c>
      <c r="K13" s="204">
        <f t="shared" si="6"/>
        <v>1038115</v>
      </c>
      <c r="L13" s="204">
        <f t="shared" si="6"/>
        <v>796829</v>
      </c>
      <c r="M13" s="204">
        <f t="shared" si="6"/>
        <v>1874515</v>
      </c>
      <c r="N13" s="204">
        <f t="shared" si="6"/>
        <v>1097098</v>
      </c>
      <c r="O13" s="204">
        <f t="shared" si="6"/>
        <v>857132</v>
      </c>
      <c r="P13" s="204">
        <f t="shared" si="6"/>
        <v>160607.61395717683</v>
      </c>
      <c r="Q13" s="204">
        <f t="shared" si="6"/>
        <v>798802.6139571768</v>
      </c>
      <c r="R13" s="204">
        <f t="shared" si="6"/>
        <v>214342</v>
      </c>
      <c r="S13" s="204">
        <f t="shared" si="6"/>
        <v>1712035</v>
      </c>
      <c r="V13" s="222">
        <f>SUM(V6:V12)</f>
        <v>1</v>
      </c>
    </row>
    <row r="14" spans="1:22" ht="18.75" x14ac:dyDescent="0.3">
      <c r="A14" s="22" t="s">
        <v>1</v>
      </c>
      <c r="B14" s="23" t="str">
        <f>A14</f>
        <v>Sueldos</v>
      </c>
      <c r="C14" s="206">
        <f t="shared" si="3"/>
        <v>5536162</v>
      </c>
      <c r="D14" s="207">
        <v>331490</v>
      </c>
      <c r="E14" s="207">
        <v>328058</v>
      </c>
      <c r="F14" s="207">
        <v>327840</v>
      </c>
      <c r="G14" s="207">
        <v>325646</v>
      </c>
      <c r="H14" s="207">
        <v>323882</v>
      </c>
      <c r="I14" s="207">
        <v>340766</v>
      </c>
      <c r="J14" s="207">
        <v>324706</v>
      </c>
      <c r="K14" s="207">
        <v>361582</v>
      </c>
      <c r="L14" s="207">
        <f t="shared" ref="L14:M14" si="7">K14</f>
        <v>361582</v>
      </c>
      <c r="M14" s="207">
        <f t="shared" si="7"/>
        <v>361582</v>
      </c>
      <c r="N14" s="207">
        <v>337180</v>
      </c>
      <c r="O14" s="207">
        <v>343748</v>
      </c>
      <c r="P14" s="207">
        <v>358568</v>
      </c>
      <c r="Q14" s="207">
        <v>358976</v>
      </c>
      <c r="R14" s="207">
        <v>360008</v>
      </c>
      <c r="S14" s="207">
        <v>390548</v>
      </c>
      <c r="U14" s="744">
        <f>C13</f>
        <v>19483182.227914352</v>
      </c>
      <c r="V14" s="745"/>
    </row>
    <row r="15" spans="1:22" x14ac:dyDescent="0.25">
      <c r="A15" s="22" t="s">
        <v>29</v>
      </c>
      <c r="B15" s="23" t="str">
        <f>A15</f>
        <v xml:space="preserve">Mantenimiento </v>
      </c>
      <c r="C15" s="206">
        <f t="shared" si="3"/>
        <v>654554</v>
      </c>
      <c r="D15" s="207">
        <v>36084</v>
      </c>
      <c r="E15" s="207">
        <v>36084</v>
      </c>
      <c r="F15" s="207">
        <v>41599</v>
      </c>
      <c r="G15" s="207">
        <f t="shared" ref="G15:S15" si="8">F15</f>
        <v>41599</v>
      </c>
      <c r="H15" s="207">
        <f t="shared" si="8"/>
        <v>41599</v>
      </c>
      <c r="I15" s="207">
        <f t="shared" si="8"/>
        <v>41599</v>
      </c>
      <c r="J15" s="207">
        <f t="shared" si="8"/>
        <v>41599</v>
      </c>
      <c r="K15" s="207">
        <f t="shared" si="8"/>
        <v>41599</v>
      </c>
      <c r="L15" s="207">
        <f t="shared" si="8"/>
        <v>41599</v>
      </c>
      <c r="M15" s="207">
        <f t="shared" si="8"/>
        <v>41599</v>
      </c>
      <c r="N15" s="207">
        <f t="shared" si="8"/>
        <v>41599</v>
      </c>
      <c r="O15" s="207">
        <f t="shared" si="8"/>
        <v>41599</v>
      </c>
      <c r="P15" s="207">
        <f t="shared" si="8"/>
        <v>41599</v>
      </c>
      <c r="Q15" s="207">
        <f t="shared" si="8"/>
        <v>41599</v>
      </c>
      <c r="R15" s="207">
        <f t="shared" si="8"/>
        <v>41599</v>
      </c>
      <c r="S15" s="207">
        <f t="shared" si="8"/>
        <v>41599</v>
      </c>
    </row>
    <row r="16" spans="1:22" x14ac:dyDescent="0.25">
      <c r="A16" s="22" t="s">
        <v>4</v>
      </c>
      <c r="B16" s="23" t="s">
        <v>30</v>
      </c>
      <c r="C16" s="206">
        <f t="shared" si="3"/>
        <v>0</v>
      </c>
      <c r="D16" s="207">
        <v>0</v>
      </c>
      <c r="E16" s="207">
        <v>0</v>
      </c>
      <c r="F16" s="207">
        <v>0</v>
      </c>
      <c r="G16" s="207">
        <v>0</v>
      </c>
      <c r="H16" s="207">
        <v>0</v>
      </c>
      <c r="I16" s="207">
        <v>0</v>
      </c>
      <c r="J16" s="207">
        <v>0</v>
      </c>
      <c r="K16" s="207">
        <v>0</v>
      </c>
      <c r="L16" s="207">
        <v>0</v>
      </c>
      <c r="M16" s="207">
        <v>0</v>
      </c>
      <c r="N16" s="207">
        <v>0</v>
      </c>
      <c r="O16" s="207">
        <v>0</v>
      </c>
      <c r="P16" s="207">
        <v>0</v>
      </c>
      <c r="Q16" s="207">
        <v>0</v>
      </c>
      <c r="R16" s="207">
        <v>0</v>
      </c>
      <c r="S16" s="207">
        <v>0</v>
      </c>
    </row>
    <row r="17" spans="1:22" x14ac:dyDescent="0.25">
      <c r="A17" s="22" t="s">
        <v>6</v>
      </c>
      <c r="B17" s="23" t="str">
        <f>A17</f>
        <v>Empleados</v>
      </c>
      <c r="C17" s="206">
        <f t="shared" si="3"/>
        <v>960000</v>
      </c>
      <c r="D17" s="207">
        <v>60000</v>
      </c>
      <c r="E17" s="207">
        <f>D17</f>
        <v>60000</v>
      </c>
      <c r="F17" s="207">
        <f>E17</f>
        <v>60000</v>
      </c>
      <c r="G17" s="207">
        <f t="shared" ref="G17:S17" si="9">F17</f>
        <v>60000</v>
      </c>
      <c r="H17" s="207">
        <f t="shared" si="9"/>
        <v>60000</v>
      </c>
      <c r="I17" s="207">
        <f t="shared" si="9"/>
        <v>60000</v>
      </c>
      <c r="J17" s="207">
        <f t="shared" si="9"/>
        <v>60000</v>
      </c>
      <c r="K17" s="207">
        <f t="shared" si="9"/>
        <v>60000</v>
      </c>
      <c r="L17" s="207">
        <f t="shared" si="9"/>
        <v>60000</v>
      </c>
      <c r="M17" s="207">
        <f t="shared" si="9"/>
        <v>60000</v>
      </c>
      <c r="N17" s="207">
        <f t="shared" si="9"/>
        <v>60000</v>
      </c>
      <c r="O17" s="207">
        <f t="shared" si="9"/>
        <v>60000</v>
      </c>
      <c r="P17" s="207">
        <f t="shared" si="9"/>
        <v>60000</v>
      </c>
      <c r="Q17" s="207">
        <f t="shared" si="9"/>
        <v>60000</v>
      </c>
      <c r="R17" s="207">
        <f t="shared" si="9"/>
        <v>60000</v>
      </c>
      <c r="S17" s="207">
        <f t="shared" si="9"/>
        <v>60000</v>
      </c>
    </row>
    <row r="18" spans="1:22" x14ac:dyDescent="0.25">
      <c r="A18" s="22" t="s">
        <v>8</v>
      </c>
      <c r="B18" s="23" t="str">
        <f>A18</f>
        <v>Juveniles</v>
      </c>
      <c r="C18" s="206">
        <f t="shared" si="3"/>
        <v>320000</v>
      </c>
      <c r="D18" s="207">
        <v>20000</v>
      </c>
      <c r="E18" s="207">
        <f>D18</f>
        <v>20000</v>
      </c>
      <c r="F18" s="207">
        <f>E18</f>
        <v>20000</v>
      </c>
      <c r="G18" s="207">
        <f t="shared" ref="G18:S18" si="10">F18</f>
        <v>20000</v>
      </c>
      <c r="H18" s="207">
        <f t="shared" si="10"/>
        <v>20000</v>
      </c>
      <c r="I18" s="207">
        <f t="shared" si="10"/>
        <v>20000</v>
      </c>
      <c r="J18" s="207">
        <f t="shared" si="10"/>
        <v>20000</v>
      </c>
      <c r="K18" s="207">
        <f t="shared" si="10"/>
        <v>20000</v>
      </c>
      <c r="L18" s="207">
        <f t="shared" si="10"/>
        <v>20000</v>
      </c>
      <c r="M18" s="207">
        <f t="shared" si="10"/>
        <v>20000</v>
      </c>
      <c r="N18" s="207">
        <f t="shared" si="10"/>
        <v>20000</v>
      </c>
      <c r="O18" s="207">
        <f t="shared" si="10"/>
        <v>20000</v>
      </c>
      <c r="P18" s="207">
        <f t="shared" si="10"/>
        <v>20000</v>
      </c>
      <c r="Q18" s="207">
        <f t="shared" si="10"/>
        <v>20000</v>
      </c>
      <c r="R18" s="207">
        <f t="shared" si="10"/>
        <v>20000</v>
      </c>
      <c r="S18" s="207">
        <f t="shared" si="10"/>
        <v>20000</v>
      </c>
    </row>
    <row r="19" spans="1:22" x14ac:dyDescent="0.25">
      <c r="A19" s="22" t="s">
        <v>9</v>
      </c>
      <c r="B19" s="23" t="s">
        <v>50</v>
      </c>
      <c r="C19" s="206">
        <f t="shared" si="3"/>
        <v>12244358</v>
      </c>
      <c r="D19" s="207">
        <f>926160+3370</f>
        <v>929530</v>
      </c>
      <c r="E19" s="207">
        <v>1572908</v>
      </c>
      <c r="F19" s="207">
        <v>0</v>
      </c>
      <c r="G19" s="207">
        <v>2890392</v>
      </c>
      <c r="H19" s="207">
        <v>2359404</v>
      </c>
      <c r="I19" s="207">
        <v>0</v>
      </c>
      <c r="J19" s="207">
        <v>1055436</v>
      </c>
      <c r="K19" s="207">
        <v>0</v>
      </c>
      <c r="L19" s="207">
        <v>0</v>
      </c>
      <c r="M19" s="207">
        <v>0</v>
      </c>
      <c r="N19" s="207">
        <f>1734608+22716</f>
        <v>1757324</v>
      </c>
      <c r="O19" s="207">
        <v>1250004</v>
      </c>
      <c r="P19" s="207">
        <v>0</v>
      </c>
      <c r="Q19" s="207">
        <v>0</v>
      </c>
      <c r="R19" s="207">
        <v>429360</v>
      </c>
      <c r="S19" s="207">
        <v>0</v>
      </c>
    </row>
    <row r="20" spans="1:22" x14ac:dyDescent="0.25">
      <c r="A20" s="763" t="s">
        <v>7</v>
      </c>
      <c r="B20" s="23" t="s">
        <v>11</v>
      </c>
      <c r="C20" s="206">
        <f t="shared" si="3"/>
        <v>586900</v>
      </c>
      <c r="D20" s="207">
        <v>586900</v>
      </c>
      <c r="E20" s="207">
        <v>0</v>
      </c>
      <c r="F20" s="207">
        <v>0</v>
      </c>
      <c r="G20" s="207">
        <v>0</v>
      </c>
      <c r="H20" s="207">
        <v>0</v>
      </c>
      <c r="I20" s="207">
        <v>0</v>
      </c>
      <c r="J20" s="207">
        <v>0</v>
      </c>
      <c r="K20" s="207">
        <v>0</v>
      </c>
      <c r="L20" s="207">
        <v>0</v>
      </c>
      <c r="M20" s="207">
        <v>0</v>
      </c>
      <c r="N20" s="207">
        <v>0</v>
      </c>
      <c r="O20" s="207">
        <v>0</v>
      </c>
      <c r="P20" s="207">
        <v>0</v>
      </c>
      <c r="Q20" s="207">
        <v>0</v>
      </c>
      <c r="R20" s="207">
        <v>0</v>
      </c>
      <c r="S20" s="207">
        <v>0</v>
      </c>
    </row>
    <row r="21" spans="1:22" x14ac:dyDescent="0.25">
      <c r="A21" s="764"/>
      <c r="B21" s="23" t="s">
        <v>818</v>
      </c>
      <c r="C21" s="206">
        <f t="shared" si="3"/>
        <v>98001</v>
      </c>
      <c r="D21" s="207">
        <f>21000+9001</f>
        <v>30001</v>
      </c>
      <c r="E21" s="207">
        <v>6000</v>
      </c>
      <c r="F21" s="207">
        <v>3000</v>
      </c>
      <c r="G21" s="207">
        <v>2000</v>
      </c>
      <c r="H21" s="207">
        <v>2000</v>
      </c>
      <c r="I21" s="207">
        <v>2000</v>
      </c>
      <c r="J21" s="207">
        <v>1000</v>
      </c>
      <c r="K21" s="207">
        <v>5000</v>
      </c>
      <c r="L21" s="207">
        <f t="shared" ref="L21:O21" si="11">K21</f>
        <v>5000</v>
      </c>
      <c r="M21" s="207">
        <v>4000</v>
      </c>
      <c r="N21" s="207">
        <v>6000</v>
      </c>
      <c r="O21" s="207">
        <f t="shared" si="11"/>
        <v>6000</v>
      </c>
      <c r="P21" s="207">
        <v>0</v>
      </c>
      <c r="Q21" s="207">
        <v>0</v>
      </c>
      <c r="R21" s="207">
        <v>2000</v>
      </c>
      <c r="S21" s="207">
        <v>24000</v>
      </c>
    </row>
    <row r="22" spans="1:22" x14ac:dyDescent="0.25">
      <c r="A22" s="22" t="s">
        <v>10</v>
      </c>
      <c r="B22" s="23" t="str">
        <f>A22</f>
        <v>Intereses</v>
      </c>
      <c r="C22" s="206">
        <f t="shared" si="3"/>
        <v>0</v>
      </c>
      <c r="D22" s="207">
        <v>0</v>
      </c>
      <c r="E22" s="207">
        <v>0</v>
      </c>
      <c r="F22" s="207">
        <v>0</v>
      </c>
      <c r="G22" s="207">
        <v>0</v>
      </c>
      <c r="H22" s="207">
        <v>0</v>
      </c>
      <c r="I22" s="207">
        <v>0</v>
      </c>
      <c r="J22" s="207">
        <v>0</v>
      </c>
      <c r="K22" s="207">
        <v>0</v>
      </c>
      <c r="L22" s="207">
        <v>0</v>
      </c>
      <c r="M22" s="207">
        <v>0</v>
      </c>
      <c r="N22" s="207">
        <v>0</v>
      </c>
      <c r="O22" s="207">
        <v>0</v>
      </c>
      <c r="P22" s="207">
        <v>0</v>
      </c>
      <c r="Q22" s="207">
        <v>0</v>
      </c>
      <c r="R22" s="207">
        <v>0</v>
      </c>
      <c r="S22" s="207">
        <v>0</v>
      </c>
    </row>
    <row r="23" spans="1:22" s="31" customFormat="1" ht="18.75" x14ac:dyDescent="0.3">
      <c r="A23" s="25" t="s">
        <v>15</v>
      </c>
      <c r="B23" s="26"/>
      <c r="C23" s="209">
        <f t="shared" si="3"/>
        <v>20399975</v>
      </c>
      <c r="D23" s="210">
        <f t="shared" ref="D23:S23" si="12">SUM(D14:D22)</f>
        <v>1994005</v>
      </c>
      <c r="E23" s="210">
        <f t="shared" si="12"/>
        <v>2023050</v>
      </c>
      <c r="F23" s="210">
        <f t="shared" si="12"/>
        <v>452439</v>
      </c>
      <c r="G23" s="210">
        <f t="shared" si="12"/>
        <v>3339637</v>
      </c>
      <c r="H23" s="210">
        <f t="shared" si="12"/>
        <v>2806885</v>
      </c>
      <c r="I23" s="210">
        <f t="shared" si="12"/>
        <v>464365</v>
      </c>
      <c r="J23" s="210">
        <f t="shared" si="12"/>
        <v>1502741</v>
      </c>
      <c r="K23" s="210">
        <f t="shared" si="12"/>
        <v>488181</v>
      </c>
      <c r="L23" s="210">
        <f t="shared" si="12"/>
        <v>488181</v>
      </c>
      <c r="M23" s="210">
        <f t="shared" si="12"/>
        <v>487181</v>
      </c>
      <c r="N23" s="210">
        <f t="shared" si="12"/>
        <v>2222103</v>
      </c>
      <c r="O23" s="210">
        <f t="shared" si="12"/>
        <v>1721351</v>
      </c>
      <c r="P23" s="210">
        <f t="shared" si="12"/>
        <v>480167</v>
      </c>
      <c r="Q23" s="210">
        <f t="shared" si="12"/>
        <v>480575</v>
      </c>
      <c r="R23" s="210">
        <f t="shared" si="12"/>
        <v>912967</v>
      </c>
      <c r="S23" s="210">
        <f t="shared" si="12"/>
        <v>536147</v>
      </c>
      <c r="U23" s="23" t="s">
        <v>1</v>
      </c>
      <c r="V23" s="220">
        <f>C14/$C$23</f>
        <v>0.27138082277061615</v>
      </c>
    </row>
    <row r="24" spans="1:22" s="7" customFormat="1" ht="18.75" x14ac:dyDescent="0.3">
      <c r="A24" s="9" t="s">
        <v>20</v>
      </c>
      <c r="B24" s="9"/>
      <c r="C24" s="197">
        <f>C5+C13-C23</f>
        <v>1449120.227914352</v>
      </c>
      <c r="D24" s="197">
        <f t="shared" ref="D24:S24" si="13">D5+D13-D23</f>
        <v>650616</v>
      </c>
      <c r="E24" s="197">
        <f t="shared" si="13"/>
        <v>3443251</v>
      </c>
      <c r="F24" s="197">
        <f t="shared" si="13"/>
        <v>3319799</v>
      </c>
      <c r="G24" s="197">
        <f t="shared" si="13"/>
        <v>2084839</v>
      </c>
      <c r="H24" s="197">
        <f t="shared" si="13"/>
        <v>640987</v>
      </c>
      <c r="I24" s="197">
        <f t="shared" si="13"/>
        <v>1908203</v>
      </c>
      <c r="J24" s="197">
        <f t="shared" si="13"/>
        <v>716497</v>
      </c>
      <c r="K24" s="197">
        <f t="shared" si="13"/>
        <v>1266431</v>
      </c>
      <c r="L24" s="197">
        <f t="shared" si="13"/>
        <v>1575079</v>
      </c>
      <c r="M24" s="197">
        <f t="shared" si="13"/>
        <v>2962413</v>
      </c>
      <c r="N24" s="197">
        <f t="shared" si="13"/>
        <v>1837408</v>
      </c>
      <c r="O24" s="197">
        <f t="shared" si="13"/>
        <v>973189</v>
      </c>
      <c r="P24" s="197">
        <f t="shared" si="13"/>
        <v>653629.61395717692</v>
      </c>
      <c r="Q24" s="197">
        <f t="shared" si="13"/>
        <v>971857.22791435383</v>
      </c>
      <c r="R24" s="197">
        <f t="shared" si="13"/>
        <v>273232.22791435383</v>
      </c>
      <c r="S24" s="197">
        <f t="shared" si="13"/>
        <v>1449120.2279143538</v>
      </c>
      <c r="U24" s="23" t="s">
        <v>29</v>
      </c>
      <c r="V24" s="220">
        <f t="shared" ref="V24:V31" si="14">C15/$C$23</f>
        <v>3.2086019713259452E-2</v>
      </c>
    </row>
    <row r="25" spans="1:22" s="178" customFormat="1" x14ac:dyDescent="0.25">
      <c r="A25" s="182"/>
      <c r="B25" s="182"/>
      <c r="C25" s="182"/>
      <c r="D25" s="183">
        <f>D2+6</f>
        <v>42083</v>
      </c>
      <c r="E25" s="183">
        <f>D25+7</f>
        <v>42090</v>
      </c>
      <c r="F25" s="183">
        <f t="shared" ref="F25:S25" si="15">E25+7</f>
        <v>42097</v>
      </c>
      <c r="G25" s="183">
        <f t="shared" si="15"/>
        <v>42104</v>
      </c>
      <c r="H25" s="183">
        <f t="shared" si="15"/>
        <v>42111</v>
      </c>
      <c r="I25" s="183">
        <f t="shared" si="15"/>
        <v>42118</v>
      </c>
      <c r="J25" s="183">
        <f t="shared" si="15"/>
        <v>42125</v>
      </c>
      <c r="K25" s="183">
        <f t="shared" si="15"/>
        <v>42132</v>
      </c>
      <c r="L25" s="183">
        <f t="shared" si="15"/>
        <v>42139</v>
      </c>
      <c r="M25" s="183">
        <f t="shared" si="15"/>
        <v>42146</v>
      </c>
      <c r="N25" s="183">
        <f t="shared" si="15"/>
        <v>42153</v>
      </c>
      <c r="O25" s="183">
        <f t="shared" si="15"/>
        <v>42160</v>
      </c>
      <c r="P25" s="183">
        <f t="shared" si="15"/>
        <v>42167</v>
      </c>
      <c r="Q25" s="183">
        <f t="shared" si="15"/>
        <v>42174</v>
      </c>
      <c r="R25" s="183">
        <f t="shared" si="15"/>
        <v>42181</v>
      </c>
      <c r="S25" s="183">
        <f t="shared" si="15"/>
        <v>42188</v>
      </c>
      <c r="U25" s="23" t="s">
        <v>30</v>
      </c>
      <c r="V25" s="220">
        <f t="shared" si="14"/>
        <v>0</v>
      </c>
    </row>
    <row r="26" spans="1:22" s="178" customFormat="1" x14ac:dyDescent="0.25">
      <c r="A26" s="768" t="s">
        <v>721</v>
      </c>
      <c r="B26" s="768"/>
      <c r="C26" s="768"/>
      <c r="D26" s="559">
        <v>1539430</v>
      </c>
      <c r="E26" s="559">
        <v>1467810</v>
      </c>
      <c r="F26" s="559">
        <v>1535820</v>
      </c>
      <c r="G26" s="559">
        <v>1433000</v>
      </c>
      <c r="H26" s="559">
        <v>1616030</v>
      </c>
      <c r="I26" s="559">
        <v>1549920</v>
      </c>
      <c r="J26" s="559">
        <v>1544720</v>
      </c>
      <c r="K26" s="559">
        <v>1687110</v>
      </c>
      <c r="L26" s="559">
        <v>1707500</v>
      </c>
      <c r="M26" s="559">
        <v>1655990</v>
      </c>
      <c r="N26" s="559">
        <v>1753560</v>
      </c>
      <c r="O26" s="559">
        <v>1686030</v>
      </c>
      <c r="P26" s="559">
        <v>1670860</v>
      </c>
      <c r="Q26" s="559">
        <v>1642620</v>
      </c>
      <c r="R26" s="559"/>
      <c r="S26" s="559">
        <v>1752950</v>
      </c>
      <c r="T26" s="194"/>
      <c r="U26" s="23" t="s">
        <v>6</v>
      </c>
      <c r="V26" s="220">
        <f t="shared" si="14"/>
        <v>4.7058881199609312E-2</v>
      </c>
    </row>
    <row r="27" spans="1:22" s="178" customFormat="1" x14ac:dyDescent="0.25">
      <c r="A27" s="769" t="s">
        <v>1212</v>
      </c>
      <c r="B27" s="769"/>
      <c r="C27" s="769"/>
      <c r="D27" s="560">
        <v>328898</v>
      </c>
      <c r="E27" s="560">
        <v>302640</v>
      </c>
      <c r="F27" s="560">
        <v>323354</v>
      </c>
      <c r="G27" s="560">
        <v>300458</v>
      </c>
      <c r="H27" s="560">
        <v>332522</v>
      </c>
      <c r="I27" s="560">
        <v>325158</v>
      </c>
      <c r="J27" s="560">
        <v>323278</v>
      </c>
      <c r="K27" s="560">
        <v>360424</v>
      </c>
      <c r="L27" s="560">
        <v>360464</v>
      </c>
      <c r="M27" s="560">
        <v>335752</v>
      </c>
      <c r="N27" s="560">
        <v>350240</v>
      </c>
      <c r="O27" s="560">
        <v>342176</v>
      </c>
      <c r="P27" s="560">
        <v>357140</v>
      </c>
      <c r="Q27" s="560">
        <v>357548</v>
      </c>
      <c r="R27" s="560"/>
      <c r="S27" s="560">
        <v>357248</v>
      </c>
      <c r="T27" s="195"/>
      <c r="U27" s="23" t="s">
        <v>8</v>
      </c>
      <c r="V27" s="220">
        <f t="shared" si="14"/>
        <v>1.5686293733203103E-2</v>
      </c>
    </row>
    <row r="28" spans="1:22" x14ac:dyDescent="0.25">
      <c r="A28" s="770" t="s">
        <v>1985</v>
      </c>
      <c r="B28" s="770"/>
      <c r="C28" s="770"/>
      <c r="D28" s="561">
        <v>1221740</v>
      </c>
      <c r="E28" s="561">
        <v>1235250</v>
      </c>
      <c r="F28" s="561">
        <v>1231690</v>
      </c>
      <c r="G28" s="561">
        <v>1202410</v>
      </c>
      <c r="H28" s="561">
        <v>1301190</v>
      </c>
      <c r="I28" s="561">
        <v>1299010</v>
      </c>
      <c r="J28" s="561">
        <v>1296890</v>
      </c>
      <c r="K28" s="561">
        <v>1357810</v>
      </c>
      <c r="L28" s="561">
        <v>1390190</v>
      </c>
      <c r="M28" s="561">
        <v>1398210</v>
      </c>
      <c r="N28" s="561">
        <v>1491220</v>
      </c>
      <c r="O28" s="561">
        <v>1423760</v>
      </c>
      <c r="P28" s="561">
        <v>1353150</v>
      </c>
      <c r="Q28" s="561">
        <v>1334150</v>
      </c>
      <c r="R28" s="561"/>
      <c r="S28" s="561">
        <v>1447150</v>
      </c>
      <c r="T28" s="192"/>
      <c r="U28" s="23" t="s">
        <v>50</v>
      </c>
      <c r="V28" s="220">
        <f t="shared" si="14"/>
        <v>0.60021436300779785</v>
      </c>
    </row>
    <row r="29" spans="1:22" x14ac:dyDescent="0.25">
      <c r="A29" s="768" t="s">
        <v>1986</v>
      </c>
      <c r="B29" s="768"/>
      <c r="C29" s="768"/>
      <c r="D29" s="562">
        <v>250366</v>
      </c>
      <c r="E29" s="562">
        <v>245374</v>
      </c>
      <c r="F29" s="562">
        <v>247810</v>
      </c>
      <c r="G29" s="562">
        <v>245386</v>
      </c>
      <c r="H29" s="562">
        <v>264142</v>
      </c>
      <c r="I29" s="562">
        <v>257330</v>
      </c>
      <c r="J29" s="562">
        <v>258200</v>
      </c>
      <c r="K29" s="562">
        <v>262808</v>
      </c>
      <c r="L29" s="562">
        <v>262808</v>
      </c>
      <c r="M29" s="562">
        <v>262808</v>
      </c>
      <c r="N29" s="562">
        <v>277296</v>
      </c>
      <c r="O29" s="562">
        <v>271752</v>
      </c>
      <c r="P29" s="562">
        <v>271752</v>
      </c>
      <c r="Q29" s="562">
        <v>271752</v>
      </c>
      <c r="R29" s="562"/>
      <c r="S29" s="562">
        <v>269964</v>
      </c>
      <c r="T29" s="192"/>
      <c r="U29" s="23" t="s">
        <v>11</v>
      </c>
      <c r="V29" s="220">
        <f t="shared" si="14"/>
        <v>2.8769643100052818E-2</v>
      </c>
    </row>
    <row r="30" spans="1:22" s="6" customFormat="1" x14ac:dyDescent="0.25">
      <c r="A30" s="769" t="s">
        <v>1987</v>
      </c>
      <c r="B30" s="769"/>
      <c r="C30" s="769"/>
      <c r="D30" s="563">
        <v>5.75</v>
      </c>
      <c r="E30" s="563">
        <v>6</v>
      </c>
      <c r="F30" s="563">
        <v>6</v>
      </c>
      <c r="G30" s="563">
        <v>6.25</v>
      </c>
      <c r="H30" s="563">
        <v>6</v>
      </c>
      <c r="I30" s="563">
        <v>5.75</v>
      </c>
      <c r="J30" s="563">
        <v>5.75</v>
      </c>
      <c r="K30" s="563">
        <v>5.75</v>
      </c>
      <c r="L30" s="563">
        <v>6.25</v>
      </c>
      <c r="M30" s="563">
        <v>6.25</v>
      </c>
      <c r="N30" s="563">
        <v>6.25</v>
      </c>
      <c r="O30" s="563">
        <v>6</v>
      </c>
      <c r="P30" s="563">
        <v>5.5</v>
      </c>
      <c r="Q30" s="563">
        <v>5.5</v>
      </c>
      <c r="R30" s="563"/>
      <c r="S30" s="563">
        <v>6</v>
      </c>
      <c r="U30" s="23" t="s">
        <v>818</v>
      </c>
      <c r="V30" s="220">
        <f t="shared" si="14"/>
        <v>4.8039764754613671E-3</v>
      </c>
    </row>
    <row r="31" spans="1:22" s="6" customFormat="1" x14ac:dyDescent="0.25">
      <c r="A31" s="770" t="s">
        <v>1988</v>
      </c>
      <c r="B31" s="770"/>
      <c r="C31" s="770"/>
      <c r="D31" s="564">
        <v>6.75</v>
      </c>
      <c r="E31" s="564">
        <v>6.75</v>
      </c>
      <c r="F31" s="564">
        <v>6.75</v>
      </c>
      <c r="G31" s="564">
        <v>6.75</v>
      </c>
      <c r="H31" s="564">
        <v>6.75</v>
      </c>
      <c r="I31" s="564">
        <v>6.75</v>
      </c>
      <c r="J31" s="564">
        <v>6.75</v>
      </c>
      <c r="K31" s="564">
        <v>6.75</v>
      </c>
      <c r="L31" s="564">
        <v>6.75</v>
      </c>
      <c r="M31" s="564">
        <v>6.75</v>
      </c>
      <c r="N31" s="564">
        <v>6.75</v>
      </c>
      <c r="O31" s="564">
        <v>6.75</v>
      </c>
      <c r="P31" s="564">
        <v>6.75</v>
      </c>
      <c r="Q31" s="564">
        <v>6.75</v>
      </c>
      <c r="R31" s="564"/>
      <c r="S31" s="564">
        <v>6.75</v>
      </c>
      <c r="U31" s="23" t="s">
        <v>10</v>
      </c>
      <c r="V31" s="220">
        <f t="shared" si="14"/>
        <v>0</v>
      </c>
    </row>
    <row r="32" spans="1:22" s="6" customFormat="1" x14ac:dyDescent="0.25">
      <c r="A32" s="768" t="s">
        <v>1989</v>
      </c>
      <c r="B32" s="768"/>
      <c r="C32" s="768"/>
      <c r="D32" s="562" t="s">
        <v>2065</v>
      </c>
      <c r="E32" s="562" t="s">
        <v>2071</v>
      </c>
      <c r="F32" s="562" t="s">
        <v>2074</v>
      </c>
      <c r="G32" s="562" t="s">
        <v>2075</v>
      </c>
      <c r="H32" s="562" t="s">
        <v>2081</v>
      </c>
      <c r="I32" s="562" t="s">
        <v>2082</v>
      </c>
      <c r="J32" s="562" t="s">
        <v>2083</v>
      </c>
      <c r="K32" s="562" t="s">
        <v>2102</v>
      </c>
      <c r="L32" s="562" t="s">
        <v>2103</v>
      </c>
      <c r="M32" s="562" t="s">
        <v>2227</v>
      </c>
      <c r="N32" s="562" t="s">
        <v>2229</v>
      </c>
      <c r="O32" s="562" t="s">
        <v>2231</v>
      </c>
      <c r="P32" s="562" t="s">
        <v>1991</v>
      </c>
      <c r="Q32" s="562" t="s">
        <v>1993</v>
      </c>
      <c r="R32" s="562"/>
      <c r="S32" s="562" t="s">
        <v>1999</v>
      </c>
    </row>
    <row r="33" spans="1:22" s="6" customFormat="1" x14ac:dyDescent="0.25">
      <c r="A33" s="769" t="s">
        <v>1990</v>
      </c>
      <c r="B33" s="769"/>
      <c r="C33" s="769"/>
      <c r="D33" s="563">
        <v>6.75</v>
      </c>
      <c r="E33" s="563">
        <v>6.75</v>
      </c>
      <c r="F33" s="563">
        <v>6.5</v>
      </c>
      <c r="G33" s="563">
        <v>7</v>
      </c>
      <c r="H33" s="563">
        <v>6.75</v>
      </c>
      <c r="I33" s="563">
        <v>6.75</v>
      </c>
      <c r="J33" s="563">
        <v>7</v>
      </c>
      <c r="K33" s="563">
        <v>7.5</v>
      </c>
      <c r="L33" s="563">
        <v>7.5</v>
      </c>
      <c r="M33" s="563">
        <v>7.75</v>
      </c>
      <c r="N33" s="563">
        <v>7.75</v>
      </c>
      <c r="O33" s="563">
        <v>7.75</v>
      </c>
      <c r="P33" s="563">
        <v>7.75</v>
      </c>
      <c r="Q33" s="563">
        <v>7.75</v>
      </c>
      <c r="R33" s="563"/>
      <c r="S33" s="563">
        <v>7.75</v>
      </c>
    </row>
    <row r="34" spans="1:22" s="6" customFormat="1" ht="18.75" x14ac:dyDescent="0.3">
      <c r="A34" s="192"/>
      <c r="B34" s="192"/>
      <c r="C34" s="192"/>
      <c r="D34" s="192"/>
      <c r="E34" s="192"/>
      <c r="F34" s="192"/>
      <c r="G34" s="192"/>
      <c r="H34" s="192"/>
      <c r="I34" s="192"/>
      <c r="J34" s="192"/>
      <c r="K34" s="192"/>
      <c r="L34" s="192"/>
      <c r="M34" s="192"/>
      <c r="N34" s="192"/>
      <c r="O34" s="192"/>
      <c r="P34" s="192"/>
      <c r="Q34" s="192"/>
      <c r="R34" s="192"/>
      <c r="S34" s="192"/>
      <c r="V34" s="221">
        <f>SUM(V23:V31)</f>
        <v>1</v>
      </c>
    </row>
    <row r="35" spans="1:22" s="6" customFormat="1" ht="18.75" x14ac:dyDescent="0.3">
      <c r="A35" s="27"/>
      <c r="B35" s="752" t="s">
        <v>821</v>
      </c>
      <c r="C35" s="167" t="s">
        <v>819</v>
      </c>
      <c r="D35" s="189">
        <v>3269733</v>
      </c>
      <c r="E35" s="189">
        <f>'A-P_T46'!$C$14</f>
        <v>2673995</v>
      </c>
      <c r="F35" s="189">
        <v>2630995</v>
      </c>
      <c r="G35" s="189">
        <v>2630995</v>
      </c>
      <c r="H35" s="189">
        <v>2630995</v>
      </c>
      <c r="I35" s="189">
        <v>2630995</v>
      </c>
      <c r="J35" s="189">
        <v>2630995</v>
      </c>
      <c r="K35" s="189">
        <v>2630995</v>
      </c>
      <c r="L35" s="189">
        <v>2630995</v>
      </c>
      <c r="M35" s="189">
        <v>2630995</v>
      </c>
      <c r="N35" s="189">
        <v>2651995</v>
      </c>
      <c r="O35" s="189">
        <v>2673995</v>
      </c>
      <c r="P35" s="189">
        <v>2673995</v>
      </c>
      <c r="Q35" s="189">
        <v>2673995</v>
      </c>
      <c r="R35" s="189">
        <v>2673995</v>
      </c>
      <c r="S35" s="189">
        <v>2673995</v>
      </c>
      <c r="U35" s="746">
        <f>C23</f>
        <v>20399975</v>
      </c>
      <c r="V35" s="747"/>
    </row>
    <row r="36" spans="1:22" x14ac:dyDescent="0.25">
      <c r="A36" s="27"/>
      <c r="B36" s="753"/>
      <c r="C36" s="167" t="s">
        <v>481</v>
      </c>
      <c r="D36" s="189">
        <v>25678938</v>
      </c>
      <c r="E36" s="189">
        <f>'A-P_T46'!$C$13</f>
        <v>26645112</v>
      </c>
      <c r="F36" s="189">
        <v>27228938</v>
      </c>
      <c r="G36" s="189">
        <v>28571258</v>
      </c>
      <c r="H36" s="189">
        <v>30899258</v>
      </c>
      <c r="I36" s="189">
        <v>29214228</v>
      </c>
      <c r="J36" s="189">
        <v>30234228</v>
      </c>
      <c r="K36" s="189">
        <v>30234228</v>
      </c>
      <c r="L36" s="189">
        <v>30234228</v>
      </c>
      <c r="M36" s="189">
        <v>28702188</v>
      </c>
      <c r="N36" s="189">
        <v>27871788</v>
      </c>
      <c r="O36" s="189">
        <v>27871788</v>
      </c>
      <c r="P36" s="189">
        <v>27871788</v>
      </c>
      <c r="Q36" s="189">
        <v>27871788</v>
      </c>
      <c r="R36" s="189">
        <v>28270608</v>
      </c>
      <c r="S36" s="189">
        <v>27871788</v>
      </c>
    </row>
    <row r="37" spans="1:22" x14ac:dyDescent="0.25">
      <c r="A37" s="27"/>
      <c r="B37" s="753"/>
      <c r="C37" s="167" t="s">
        <v>1385</v>
      </c>
      <c r="D37" s="189">
        <v>641354</v>
      </c>
      <c r="E37" s="189">
        <f>'A-P_T46'!$C$15</f>
        <v>1213040</v>
      </c>
      <c r="F37" s="189">
        <v>0</v>
      </c>
      <c r="G37" s="189">
        <v>0</v>
      </c>
      <c r="H37" s="189">
        <v>0</v>
      </c>
      <c r="I37" s="189">
        <v>0</v>
      </c>
      <c r="J37" s="189">
        <v>0</v>
      </c>
      <c r="K37" s="189">
        <v>0</v>
      </c>
      <c r="L37" s="189">
        <v>0</v>
      </c>
      <c r="M37" s="189">
        <v>0</v>
      </c>
      <c r="N37" s="189">
        <v>0</v>
      </c>
      <c r="O37" s="189">
        <v>1213040</v>
      </c>
      <c r="P37" s="189">
        <v>1213040</v>
      </c>
      <c r="Q37" s="189">
        <v>1213040</v>
      </c>
      <c r="R37" s="189">
        <v>1213040</v>
      </c>
      <c r="S37" s="189">
        <v>1213040</v>
      </c>
    </row>
    <row r="38" spans="1:22" x14ac:dyDescent="0.25">
      <c r="A38" s="27"/>
      <c r="B38" s="754"/>
      <c r="C38" s="299" t="s">
        <v>291</v>
      </c>
      <c r="D38" s="300">
        <v>29590025</v>
      </c>
      <c r="E38" s="300">
        <f t="shared" ref="E38" si="16">E37+E36+E35</f>
        <v>30532147</v>
      </c>
      <c r="F38" s="300">
        <v>29859933</v>
      </c>
      <c r="G38" s="300">
        <v>31202253</v>
      </c>
      <c r="H38" s="300">
        <v>33530253</v>
      </c>
      <c r="I38" s="300">
        <v>31845223</v>
      </c>
      <c r="J38" s="300">
        <v>32865223</v>
      </c>
      <c r="K38" s="300">
        <v>32865223</v>
      </c>
      <c r="L38" s="300">
        <v>32865223</v>
      </c>
      <c r="M38" s="300">
        <v>31333183</v>
      </c>
      <c r="N38" s="300">
        <v>30523783</v>
      </c>
      <c r="O38" s="300">
        <v>31758823</v>
      </c>
      <c r="P38" s="300">
        <v>31758823</v>
      </c>
      <c r="Q38" s="300">
        <v>31758823</v>
      </c>
      <c r="R38" s="300">
        <v>32157643</v>
      </c>
      <c r="S38" s="300">
        <v>31758823</v>
      </c>
    </row>
    <row r="39" spans="1:22" x14ac:dyDescent="0.25">
      <c r="C39" s="192"/>
      <c r="E39" s="247"/>
      <c r="F39" s="247"/>
      <c r="H39" s="247"/>
      <c r="J39"/>
      <c r="K39"/>
      <c r="L39"/>
    </row>
    <row r="40" spans="1:22" ht="15" customHeight="1" x14ac:dyDescent="0.25">
      <c r="E40"/>
      <c r="J40" s="731"/>
      <c r="K40" s="731"/>
    </row>
    <row r="41" spans="1:22" x14ac:dyDescent="0.25">
      <c r="B41" s="5"/>
      <c r="C41" s="2" t="s">
        <v>1830</v>
      </c>
      <c r="D41" s="573">
        <v>113410</v>
      </c>
      <c r="E41" s="573">
        <v>131725</v>
      </c>
      <c r="F41" s="573">
        <v>142825</v>
      </c>
      <c r="G41" s="506">
        <v>149115</v>
      </c>
      <c r="H41" s="573">
        <v>154000</v>
      </c>
      <c r="I41" s="573">
        <v>155000</v>
      </c>
      <c r="J41" s="504">
        <v>155960</v>
      </c>
      <c r="K41" s="504">
        <v>156330</v>
      </c>
      <c r="L41" s="505">
        <v>156700</v>
      </c>
      <c r="M41" s="505">
        <v>157070</v>
      </c>
      <c r="N41" s="505">
        <v>157255</v>
      </c>
      <c r="O41" s="505">
        <v>157625</v>
      </c>
      <c r="P41" s="505">
        <v>157810</v>
      </c>
      <c r="Q41" s="505">
        <v>142455</v>
      </c>
      <c r="R41" s="505">
        <v>134130</v>
      </c>
      <c r="S41" s="505">
        <v>129505</v>
      </c>
    </row>
    <row r="42" spans="1:22" x14ac:dyDescent="0.25">
      <c r="E42" s="573">
        <f>(E41-D41)/D41</f>
        <v>0.16149369544131911</v>
      </c>
      <c r="F42" s="573">
        <f t="shared" ref="F42:S42" si="17">(F41-E41)/E41</f>
        <v>8.4266464224710569E-2</v>
      </c>
      <c r="G42" s="573">
        <f t="shared" si="17"/>
        <v>4.4039908979520391E-2</v>
      </c>
      <c r="H42" s="573">
        <f t="shared" si="17"/>
        <v>3.2759950373872512E-2</v>
      </c>
      <c r="I42" s="573">
        <f t="shared" si="17"/>
        <v>6.4935064935064939E-3</v>
      </c>
      <c r="J42" s="573">
        <f t="shared" si="17"/>
        <v>6.193548387096774E-3</v>
      </c>
      <c r="K42" s="573">
        <f t="shared" si="17"/>
        <v>2.3724031803026417E-3</v>
      </c>
      <c r="L42" s="573">
        <f t="shared" si="17"/>
        <v>2.3667882044393269E-3</v>
      </c>
      <c r="M42" s="573">
        <f t="shared" si="17"/>
        <v>2.3611997447351629E-3</v>
      </c>
      <c r="N42" s="573">
        <f t="shared" si="17"/>
        <v>1.1778188069013816E-3</v>
      </c>
      <c r="O42" s="573">
        <f t="shared" si="17"/>
        <v>2.3528663635496486E-3</v>
      </c>
      <c r="P42" s="573">
        <f t="shared" si="17"/>
        <v>1.1736716891356067E-3</v>
      </c>
      <c r="Q42" s="573">
        <f t="shared" si="17"/>
        <v>-9.7300551295862112E-2</v>
      </c>
      <c r="R42" s="573">
        <f t="shared" si="17"/>
        <v>-5.843950721280404E-2</v>
      </c>
      <c r="S42" s="573">
        <f t="shared" si="17"/>
        <v>-3.4481473197644073E-2</v>
      </c>
    </row>
    <row r="43" spans="1:22" x14ac:dyDescent="0.25">
      <c r="H43" s="574"/>
      <c r="I43" s="574"/>
      <c r="J43" s="574"/>
      <c r="K43" s="574"/>
    </row>
    <row r="44" spans="1:22" x14ac:dyDescent="0.25">
      <c r="H44" s="574"/>
      <c r="I44" s="574"/>
      <c r="J44" s="574"/>
      <c r="K44" s="574"/>
    </row>
    <row r="45" spans="1:22" x14ac:dyDescent="0.25">
      <c r="H45" s="478"/>
      <c r="I45" s="478"/>
      <c r="J45" s="574"/>
      <c r="K45" s="574"/>
    </row>
    <row r="46" spans="1:22" x14ac:dyDescent="0.25">
      <c r="H46" s="574"/>
      <c r="I46" s="574"/>
      <c r="J46" s="574"/>
      <c r="K46" s="574"/>
    </row>
    <row r="47" spans="1:22" x14ac:dyDescent="0.25">
      <c r="H47" s="574"/>
      <c r="I47" s="574"/>
      <c r="J47" s="574"/>
      <c r="K47" s="574"/>
    </row>
    <row r="48" spans="1:22" x14ac:dyDescent="0.25">
      <c r="H48" s="574"/>
      <c r="I48" s="574"/>
      <c r="J48" s="574"/>
      <c r="K48" s="574"/>
    </row>
    <row r="49" spans="8:11" x14ac:dyDescent="0.25">
      <c r="H49" s="727"/>
      <c r="I49" s="727"/>
      <c r="J49" s="727"/>
      <c r="K49" s="727"/>
    </row>
    <row r="50" spans="8:11" x14ac:dyDescent="0.25">
      <c r="H50" s="574"/>
      <c r="I50" s="574"/>
      <c r="J50" s="574"/>
      <c r="K50" s="574"/>
    </row>
    <row r="51" spans="8:11" x14ac:dyDescent="0.25">
      <c r="H51" s="727"/>
      <c r="I51" s="727"/>
      <c r="J51" s="727"/>
      <c r="K51" s="727"/>
    </row>
    <row r="52" spans="8:11" ht="15" customHeight="1" x14ac:dyDescent="0.25">
      <c r="H52" s="727"/>
      <c r="I52" s="727"/>
      <c r="J52" s="727"/>
      <c r="K52" s="4"/>
    </row>
  </sheetData>
  <mergeCells count="17">
    <mergeCell ref="J40:K40"/>
    <mergeCell ref="H49:K49"/>
    <mergeCell ref="H51:K51"/>
    <mergeCell ref="H52:J52"/>
    <mergeCell ref="B35:B38"/>
    <mergeCell ref="A11:A12"/>
    <mergeCell ref="U14:V14"/>
    <mergeCell ref="A20:A21"/>
    <mergeCell ref="A26:C26"/>
    <mergeCell ref="A27:C27"/>
    <mergeCell ref="A33:C33"/>
    <mergeCell ref="U35:V35"/>
    <mergeCell ref="A28:C28"/>
    <mergeCell ref="A29:C29"/>
    <mergeCell ref="A30:C30"/>
    <mergeCell ref="A31:C31"/>
    <mergeCell ref="A32:C32"/>
  </mergeCells>
  <pageMargins left="0.7" right="0.7" top="0.75" bottom="0.75" header="0.3" footer="0.3"/>
  <pageSetup paperSize="9" orientation="portrait" horizontalDpi="200" verticalDpi="200"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X62"/>
  <sheetViews>
    <sheetView zoomScale="80" zoomScaleNormal="80" workbookViewId="0">
      <pane xSplit="9" ySplit="3" topLeftCell="J4" activePane="bottomRight" state="frozen"/>
      <selection pane="topRight" activeCell="J1" sqref="J1"/>
      <selection pane="bottomLeft" activeCell="A3" sqref="A3"/>
      <selection pane="bottomRight" activeCell="F28" sqref="F28"/>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19.7109375" bestFit="1" customWidth="1"/>
    <col min="6" max="6" width="18" style="225" bestFit="1" customWidth="1"/>
    <col min="7" max="7" width="7.42578125" style="225" bestFit="1" customWidth="1"/>
    <col min="8" max="8" width="2.85546875" customWidth="1"/>
    <col min="9" max="9" width="7.42578125" style="5" bestFit="1" customWidth="1"/>
    <col min="10" max="10" width="17.42578125" style="6" bestFit="1" customWidth="1"/>
    <col min="11" max="11" width="12.7109375" style="5" bestFit="1" customWidth="1"/>
    <col min="12" max="12" width="10" style="5" bestFit="1" customWidth="1"/>
    <col min="13" max="16" width="12.7109375" style="5" bestFit="1" customWidth="1"/>
    <col min="17" max="17" width="7.5703125" style="502" bestFit="1" customWidth="1"/>
    <col min="18" max="18" width="9" style="5" bestFit="1" customWidth="1"/>
    <col min="19" max="19" width="9.28515625" style="5" bestFit="1" customWidth="1"/>
    <col min="20" max="20" width="11" style="5" bestFit="1" customWidth="1"/>
    <col min="21" max="24" width="12.7109375" bestFit="1" customWidth="1"/>
  </cols>
  <sheetData>
    <row r="1" spans="2:24" ht="9" customHeight="1" x14ac:dyDescent="0.25">
      <c r="I1"/>
      <c r="J1" s="2"/>
      <c r="K1"/>
      <c r="L1"/>
      <c r="M1"/>
      <c r="N1"/>
      <c r="O1"/>
      <c r="P1"/>
      <c r="Q1" s="321"/>
      <c r="R1"/>
      <c r="S1"/>
      <c r="T1"/>
    </row>
    <row r="2" spans="2:24" ht="21" x14ac:dyDescent="0.35">
      <c r="B2" s="735" t="s">
        <v>2066</v>
      </c>
      <c r="C2" s="736"/>
      <c r="D2" s="736"/>
      <c r="E2" s="736"/>
      <c r="F2" s="736"/>
      <c r="G2" s="757"/>
      <c r="I2" s="765" t="s">
        <v>1983</v>
      </c>
      <c r="J2" s="766"/>
      <c r="K2" s="766"/>
      <c r="L2" s="766"/>
      <c r="M2" s="766"/>
      <c r="N2" s="766"/>
      <c r="O2" s="766"/>
      <c r="P2" s="766"/>
      <c r="Q2" s="766"/>
      <c r="R2" s="766"/>
      <c r="S2" s="766"/>
      <c r="T2" s="767"/>
    </row>
    <row r="3" spans="2:24" x14ac:dyDescent="0.25">
      <c r="B3" s="755" t="s">
        <v>1025</v>
      </c>
      <c r="C3" s="749"/>
      <c r="D3" s="749"/>
      <c r="E3" s="749"/>
      <c r="F3" s="749"/>
      <c r="G3" s="756"/>
      <c r="I3" s="346" t="s">
        <v>36</v>
      </c>
      <c r="J3" s="17" t="s">
        <v>481</v>
      </c>
      <c r="K3" s="17" t="s">
        <v>50</v>
      </c>
      <c r="L3" s="17" t="s">
        <v>1332</v>
      </c>
      <c r="M3" s="17" t="s">
        <v>879</v>
      </c>
      <c r="N3" s="17" t="s">
        <v>1333</v>
      </c>
      <c r="O3" s="17" t="s">
        <v>950</v>
      </c>
      <c r="P3" s="17" t="s">
        <v>1336</v>
      </c>
      <c r="Q3" s="406" t="s">
        <v>1326</v>
      </c>
      <c r="R3" s="345" t="s">
        <v>1337</v>
      </c>
      <c r="S3" s="345" t="s">
        <v>1334</v>
      </c>
      <c r="T3" s="345" t="s">
        <v>1335</v>
      </c>
    </row>
    <row r="4" spans="2:24" ht="18.75" x14ac:dyDescent="0.3">
      <c r="B4" s="759" t="s">
        <v>948</v>
      </c>
      <c r="C4" s="760"/>
      <c r="D4" s="268"/>
      <c r="E4" s="761" t="s">
        <v>949</v>
      </c>
      <c r="F4" s="762"/>
      <c r="G4" s="268"/>
      <c r="I4" s="34" t="s">
        <v>1198</v>
      </c>
      <c r="J4" s="345" t="s">
        <v>1339</v>
      </c>
      <c r="K4" s="278">
        <v>785000</v>
      </c>
      <c r="L4" s="278">
        <v>0</v>
      </c>
      <c r="M4" s="278">
        <v>0</v>
      </c>
      <c r="N4" s="278">
        <v>0</v>
      </c>
      <c r="O4" s="278">
        <f t="shared" ref="O4" si="0">IF(M4=0,0,M4-K4)-N4</f>
        <v>0</v>
      </c>
      <c r="P4" s="278">
        <f t="shared" ref="P4" si="1">IF(M4=0,K4,0)</f>
        <v>785000</v>
      </c>
      <c r="Q4" s="404"/>
      <c r="R4" s="352">
        <v>41325</v>
      </c>
      <c r="S4" s="352"/>
      <c r="T4" s="351"/>
      <c r="V4" s="247"/>
      <c r="X4" s="247"/>
    </row>
    <row r="5" spans="2:24" x14ac:dyDescent="0.25">
      <c r="B5" s="243"/>
      <c r="C5" s="244"/>
      <c r="D5" s="423"/>
      <c r="E5" s="243"/>
      <c r="F5" s="244"/>
      <c r="G5" s="269"/>
      <c r="I5" s="187" t="s">
        <v>1006</v>
      </c>
      <c r="J5" s="336" t="s">
        <v>2024</v>
      </c>
      <c r="K5" s="333">
        <v>3329940</v>
      </c>
      <c r="L5" s="333">
        <v>0</v>
      </c>
      <c r="M5" s="333">
        <v>0</v>
      </c>
      <c r="N5" s="333">
        <v>0</v>
      </c>
      <c r="O5" s="343">
        <f t="shared" ref="O5:O50" si="2">IF(M5=0,0,M5-K5)-N5</f>
        <v>0</v>
      </c>
      <c r="P5" s="333">
        <f t="shared" ref="P5:P50" si="3">IF(M5=0,K5,0)</f>
        <v>3329940</v>
      </c>
      <c r="Q5" s="403"/>
      <c r="R5" s="347">
        <v>41992</v>
      </c>
      <c r="S5" s="347"/>
      <c r="T5" s="344"/>
      <c r="V5" s="247"/>
      <c r="W5" s="247"/>
    </row>
    <row r="6" spans="2:24" x14ac:dyDescent="0.25">
      <c r="B6" s="226" t="s">
        <v>951</v>
      </c>
      <c r="C6" s="242">
        <f>SUM(C7:C9)</f>
        <v>3194295</v>
      </c>
      <c r="D6" s="304">
        <f>C6/$C$34</f>
        <v>5.8440713992511363E-2</v>
      </c>
      <c r="E6" s="226" t="s">
        <v>1329</v>
      </c>
      <c r="F6" s="242">
        <f>F7+F8+F9</f>
        <v>35824783</v>
      </c>
      <c r="G6" s="271">
        <f>F6/$F$34</f>
        <v>0.65542659558581262</v>
      </c>
      <c r="I6" s="187" t="s">
        <v>1006</v>
      </c>
      <c r="J6" s="336" t="s">
        <v>1822</v>
      </c>
      <c r="K6" s="333">
        <v>3182496</v>
      </c>
      <c r="L6" s="333">
        <v>0</v>
      </c>
      <c r="M6" s="333">
        <v>0</v>
      </c>
      <c r="N6" s="333">
        <v>0</v>
      </c>
      <c r="O6" s="343">
        <f t="shared" si="2"/>
        <v>0</v>
      </c>
      <c r="P6" s="333">
        <f t="shared" si="3"/>
        <v>3182496</v>
      </c>
      <c r="Q6" s="403"/>
      <c r="R6" s="347">
        <v>41769</v>
      </c>
      <c r="S6" s="347"/>
      <c r="T6" s="344"/>
      <c r="V6" s="247"/>
      <c r="W6" s="30"/>
    </row>
    <row r="7" spans="2:24" x14ac:dyDescent="0.25">
      <c r="B7" s="249" t="s">
        <v>30</v>
      </c>
      <c r="C7" s="250">
        <f>'A-P_T45'!C7+EconomiaT46!C16</f>
        <v>3392395</v>
      </c>
      <c r="D7" s="424">
        <f>C7/$C$34</f>
        <v>6.2065020902773722E-2</v>
      </c>
      <c r="E7" s="425" t="s">
        <v>1029</v>
      </c>
      <c r="F7" s="237">
        <v>300000</v>
      </c>
      <c r="G7" s="272">
        <f>F7/$F$34</f>
        <v>5.4886020852029666E-3</v>
      </c>
      <c r="I7" s="187" t="s">
        <v>1006</v>
      </c>
      <c r="J7" s="336" t="s">
        <v>2079</v>
      </c>
      <c r="K7" s="333">
        <v>2869260</v>
      </c>
      <c r="L7" s="333">
        <v>21132</v>
      </c>
      <c r="M7" s="333">
        <v>0</v>
      </c>
      <c r="N7" s="333">
        <v>0</v>
      </c>
      <c r="O7" s="343">
        <f t="shared" si="2"/>
        <v>0</v>
      </c>
      <c r="P7" s="333">
        <f t="shared" si="3"/>
        <v>2869260</v>
      </c>
      <c r="Q7" s="403"/>
      <c r="R7" s="347">
        <v>42104</v>
      </c>
      <c r="S7" s="347"/>
      <c r="T7" s="344"/>
      <c r="V7" s="247"/>
      <c r="W7" s="30"/>
      <c r="X7" s="30"/>
    </row>
    <row r="8" spans="2:24" x14ac:dyDescent="0.25">
      <c r="B8" s="249" t="s">
        <v>11</v>
      </c>
      <c r="C8" s="250">
        <f>'A-P_T45'!C8+EconomiaT46!C20</f>
        <v>1179000</v>
      </c>
      <c r="D8" s="424">
        <f>C8/$C$34</f>
        <v>2.1570206194847657E-2</v>
      </c>
      <c r="E8" s="425" t="s">
        <v>1602</v>
      </c>
      <c r="F8" s="237">
        <f>'A-P_T45'!F9+'A-P_T45'!F8</f>
        <v>31716752</v>
      </c>
      <c r="G8" s="272">
        <f>F8/$F$34</f>
        <v>0.58026877054355119</v>
      </c>
      <c r="I8" s="187" t="s">
        <v>1006</v>
      </c>
      <c r="J8" s="336" t="s">
        <v>1935</v>
      </c>
      <c r="K8" s="333">
        <v>2600000</v>
      </c>
      <c r="L8" s="333">
        <v>0</v>
      </c>
      <c r="M8" s="333">
        <v>0</v>
      </c>
      <c r="N8" s="333">
        <v>0</v>
      </c>
      <c r="O8" s="343">
        <f t="shared" si="2"/>
        <v>0</v>
      </c>
      <c r="P8" s="333">
        <f t="shared" si="3"/>
        <v>2600000</v>
      </c>
      <c r="Q8" s="403"/>
      <c r="R8" s="347">
        <v>41919</v>
      </c>
      <c r="S8" s="347"/>
      <c r="T8" s="344"/>
      <c r="V8" s="247"/>
    </row>
    <row r="9" spans="2:24" x14ac:dyDescent="0.25">
      <c r="B9" s="245" t="s">
        <v>1026</v>
      </c>
      <c r="C9" s="248">
        <f>-592100-785000</f>
        <v>-1377100</v>
      </c>
      <c r="D9" s="424">
        <f>C9/$C$34</f>
        <v>-2.5194513105110016E-2</v>
      </c>
      <c r="E9" s="425" t="s">
        <v>2068</v>
      </c>
      <c r="F9" s="237">
        <f>'A-P_T45'!F11-EconomiaT45!C24+EconomiaT45!C5-98387</f>
        <v>3808031</v>
      </c>
      <c r="G9" s="272">
        <f>F9/$F$34</f>
        <v>6.9669222957058463E-2</v>
      </c>
      <c r="I9" s="334" t="s">
        <v>1006</v>
      </c>
      <c r="J9" s="337" t="s">
        <v>1731</v>
      </c>
      <c r="K9" s="335">
        <v>2530400</v>
      </c>
      <c r="L9" s="335">
        <v>0</v>
      </c>
      <c r="M9" s="335">
        <v>1000000</v>
      </c>
      <c r="N9" s="335">
        <f>M9-930000</f>
        <v>70000</v>
      </c>
      <c r="O9" s="335">
        <f t="shared" si="2"/>
        <v>-1600400</v>
      </c>
      <c r="P9" s="335">
        <f t="shared" si="3"/>
        <v>0</v>
      </c>
      <c r="Q9" s="405">
        <f t="shared" ref="Q9" si="4">O9/K9</f>
        <v>-0.63246917483401832</v>
      </c>
      <c r="R9" s="348">
        <v>41778</v>
      </c>
      <c r="S9" s="348">
        <v>42147</v>
      </c>
      <c r="T9" s="353">
        <f t="shared" ref="T9" si="5">O9/((S9-R9)/7)</f>
        <v>-30359.891598915987</v>
      </c>
      <c r="U9" s="622"/>
      <c r="V9" s="247"/>
      <c r="W9" s="378"/>
      <c r="X9" s="378"/>
    </row>
    <row r="10" spans="2:24" x14ac:dyDescent="0.25">
      <c r="B10" s="228"/>
      <c r="C10" s="227"/>
      <c r="D10" s="304"/>
      <c r="E10" s="426"/>
      <c r="F10" s="227"/>
      <c r="G10" s="271"/>
      <c r="I10" s="187" t="s">
        <v>1006</v>
      </c>
      <c r="J10" s="336" t="s">
        <v>2080</v>
      </c>
      <c r="K10" s="333">
        <v>2328000</v>
      </c>
      <c r="L10" s="333">
        <v>31404</v>
      </c>
      <c r="M10" s="333">
        <v>0</v>
      </c>
      <c r="N10" s="333">
        <v>0</v>
      </c>
      <c r="O10" s="343">
        <f t="shared" si="2"/>
        <v>0</v>
      </c>
      <c r="P10" s="333">
        <f t="shared" si="3"/>
        <v>2328000</v>
      </c>
      <c r="Q10" s="403"/>
      <c r="R10" s="347">
        <v>42110</v>
      </c>
      <c r="S10" s="347"/>
      <c r="T10" s="344"/>
      <c r="U10" s="622"/>
      <c r="V10" s="247"/>
      <c r="W10" s="572"/>
      <c r="X10" s="572"/>
    </row>
    <row r="11" spans="2:24" x14ac:dyDescent="0.25">
      <c r="B11" s="226" t="s">
        <v>481</v>
      </c>
      <c r="C11" s="242">
        <f>SUM(C12:C15)</f>
        <v>30532147</v>
      </c>
      <c r="D11" s="304">
        <f>C11/$C$34</f>
        <v>0.55859601896641164</v>
      </c>
      <c r="E11" s="226" t="s">
        <v>1677</v>
      </c>
      <c r="F11" s="242">
        <f>SUM(F12:F17)</f>
        <v>-783053.5441712942</v>
      </c>
      <c r="G11" s="271">
        <f t="shared" ref="G11:G17" si="6">F11/$F$34</f>
        <v>-1.4326231051213797E-2</v>
      </c>
      <c r="I11" s="187" t="s">
        <v>1006</v>
      </c>
      <c r="J11" s="336" t="s">
        <v>1676</v>
      </c>
      <c r="K11" s="333">
        <v>2125000</v>
      </c>
      <c r="L11" s="333">
        <v>0</v>
      </c>
      <c r="M11" s="333">
        <v>0</v>
      </c>
      <c r="N11" s="333">
        <v>0</v>
      </c>
      <c r="O11" s="343">
        <f t="shared" si="2"/>
        <v>0</v>
      </c>
      <c r="P11" s="333">
        <f t="shared" si="3"/>
        <v>2125000</v>
      </c>
      <c r="Q11" s="403"/>
      <c r="R11" s="347">
        <v>41584</v>
      </c>
      <c r="S11" s="347"/>
      <c r="T11" s="344"/>
      <c r="U11" s="622"/>
      <c r="V11" s="247"/>
      <c r="W11" s="572"/>
      <c r="X11" s="572"/>
    </row>
    <row r="12" spans="2:24" x14ac:dyDescent="0.25">
      <c r="B12" s="231" t="s">
        <v>1381</v>
      </c>
      <c r="C12" s="232">
        <f>SUMIF(I5:I64,"S",$P$5:$P$64)</f>
        <v>0</v>
      </c>
      <c r="D12" s="424">
        <f>C12/$C$34</f>
        <v>0</v>
      </c>
      <c r="E12" s="339" t="s">
        <v>1194</v>
      </c>
      <c r="F12" s="340">
        <f>SUMIF(I5:I94,"J",$O$5:$O$94)</f>
        <v>-4063887</v>
      </c>
      <c r="G12" s="272">
        <f t="shared" si="6"/>
        <v>-7.4350195540764094E-2</v>
      </c>
      <c r="I12" s="187" t="s">
        <v>1006</v>
      </c>
      <c r="J12" s="336" t="s">
        <v>1926</v>
      </c>
      <c r="K12" s="333">
        <v>2012000</v>
      </c>
      <c r="L12" s="333">
        <v>0</v>
      </c>
      <c r="M12" s="333">
        <v>0</v>
      </c>
      <c r="N12" s="333">
        <v>0</v>
      </c>
      <c r="O12" s="343">
        <f t="shared" si="2"/>
        <v>0</v>
      </c>
      <c r="P12" s="333">
        <f t="shared" si="3"/>
        <v>2012000</v>
      </c>
      <c r="Q12" s="403"/>
      <c r="R12" s="347">
        <v>41899</v>
      </c>
      <c r="S12" s="347"/>
      <c r="T12" s="344"/>
      <c r="U12" s="622"/>
      <c r="V12" s="247"/>
      <c r="W12" s="63"/>
      <c r="X12" s="63"/>
    </row>
    <row r="13" spans="2:24" x14ac:dyDescent="0.25">
      <c r="B13" s="231" t="s">
        <v>481</v>
      </c>
      <c r="C13" s="232">
        <f>SUMIF(I5:I64,"J",$P$5:$P$64)</f>
        <v>26645112</v>
      </c>
      <c r="D13" s="424">
        <f>C13/$C$34</f>
        <v>0.48748139094555526</v>
      </c>
      <c r="E13" s="339" t="s">
        <v>1382</v>
      </c>
      <c r="F13" s="340">
        <f>SUMIF(I5:I64,"S",$O$5:$O$64)</f>
        <v>0</v>
      </c>
      <c r="G13" s="272">
        <f t="shared" si="6"/>
        <v>0</v>
      </c>
      <c r="I13" s="187" t="s">
        <v>1004</v>
      </c>
      <c r="J13" s="336" t="s">
        <v>1994</v>
      </c>
      <c r="K13" s="333">
        <v>1704835</v>
      </c>
      <c r="L13" s="333">
        <v>0</v>
      </c>
      <c r="M13" s="333">
        <v>0</v>
      </c>
      <c r="N13" s="333">
        <v>0</v>
      </c>
      <c r="O13" s="343">
        <f t="shared" si="2"/>
        <v>0</v>
      </c>
      <c r="P13" s="333">
        <f t="shared" si="3"/>
        <v>1704835</v>
      </c>
      <c r="Q13" s="403"/>
      <c r="R13" s="347">
        <v>41974</v>
      </c>
      <c r="S13" s="347"/>
      <c r="T13" s="344"/>
      <c r="U13" s="622"/>
      <c r="V13" s="247"/>
    </row>
    <row r="14" spans="2:24" x14ac:dyDescent="0.25">
      <c r="B14" s="231" t="s">
        <v>819</v>
      </c>
      <c r="C14" s="232">
        <f>SUMIF(I5:I64,"E",$P$5:$P$64)</f>
        <v>2673995</v>
      </c>
      <c r="D14" s="424">
        <f>C14/$C$34</f>
        <v>4.8921648442741016E-2</v>
      </c>
      <c r="E14" s="339" t="s">
        <v>1195</v>
      </c>
      <c r="F14" s="340">
        <f>SUMIF(I5:I94,"C",$O$5:$O$94)</f>
        <v>22800</v>
      </c>
      <c r="G14" s="272">
        <f t="shared" si="6"/>
        <v>4.1713375847542551E-4</v>
      </c>
      <c r="I14" s="334" t="s">
        <v>1006</v>
      </c>
      <c r="J14" s="337" t="s">
        <v>1760</v>
      </c>
      <c r="K14" s="335">
        <v>1685030</v>
      </c>
      <c r="L14" s="335">
        <v>0</v>
      </c>
      <c r="M14" s="335">
        <v>999995</v>
      </c>
      <c r="N14" s="335">
        <f>M14-929995</f>
        <v>70000</v>
      </c>
      <c r="O14" s="335">
        <f t="shared" si="2"/>
        <v>-755035</v>
      </c>
      <c r="P14" s="335">
        <f t="shared" si="3"/>
        <v>0</v>
      </c>
      <c r="Q14" s="405">
        <f t="shared" ref="Q14:Q16" si="7">O14/K14</f>
        <v>-0.44808401037370255</v>
      </c>
      <c r="R14" s="348">
        <v>41785</v>
      </c>
      <c r="S14" s="348">
        <v>42112</v>
      </c>
      <c r="T14" s="353">
        <f t="shared" ref="T14:T16" si="8">O14/((S14-R14)/7)</f>
        <v>-16162.828746177369</v>
      </c>
      <c r="U14" s="622"/>
      <c r="V14" s="247"/>
    </row>
    <row r="15" spans="2:24" x14ac:dyDescent="0.25">
      <c r="B15" s="231" t="s">
        <v>997</v>
      </c>
      <c r="C15" s="232">
        <f>SUMIF(I5:I64,"M",$P$5:$P$64)</f>
        <v>1213040</v>
      </c>
      <c r="D15" s="424">
        <f>C15/$C$34</f>
        <v>2.2192979578115352E-2</v>
      </c>
      <c r="E15" s="339" t="s">
        <v>1196</v>
      </c>
      <c r="F15" s="340">
        <f>SUMIF(I5:I94,"E",$O$5:$O$94)</f>
        <v>2544642</v>
      </c>
      <c r="G15" s="272">
        <f t="shared" si="6"/>
        <v>4.6555091290983494E-2</v>
      </c>
      <c r="I15" s="187" t="s">
        <v>1006</v>
      </c>
      <c r="J15" s="336" t="s">
        <v>2073</v>
      </c>
      <c r="K15" s="333">
        <v>1550000</v>
      </c>
      <c r="L15" s="333">
        <v>22908</v>
      </c>
      <c r="M15" s="333">
        <v>0</v>
      </c>
      <c r="N15" s="333">
        <v>0</v>
      </c>
      <c r="O15" s="343">
        <f t="shared" si="2"/>
        <v>0</v>
      </c>
      <c r="P15" s="333">
        <f t="shared" si="3"/>
        <v>1550000</v>
      </c>
      <c r="Q15" s="403"/>
      <c r="R15" s="347">
        <v>42089</v>
      </c>
      <c r="S15" s="347"/>
      <c r="T15" s="344"/>
      <c r="U15" s="622"/>
      <c r="V15" s="247"/>
    </row>
    <row r="16" spans="2:24" x14ac:dyDescent="0.25">
      <c r="B16" s="235"/>
      <c r="C16" s="236"/>
      <c r="D16" s="304"/>
      <c r="E16" s="339" t="s">
        <v>1197</v>
      </c>
      <c r="F16" s="340">
        <f>SUMIF(I5:I94,"M",$O$5:$O$94)</f>
        <v>486995</v>
      </c>
      <c r="G16" s="272">
        <f t="shared" si="6"/>
        <v>8.9097392416113957E-3</v>
      </c>
      <c r="I16" s="334" t="s">
        <v>1006</v>
      </c>
      <c r="J16" s="337" t="s">
        <v>1842</v>
      </c>
      <c r="K16" s="335">
        <v>1532040</v>
      </c>
      <c r="L16" s="335">
        <v>0</v>
      </c>
      <c r="M16" s="335">
        <v>420000</v>
      </c>
      <c r="N16" s="335">
        <f>M16-390600</f>
        <v>29400</v>
      </c>
      <c r="O16" s="335">
        <f t="shared" si="2"/>
        <v>-1141440</v>
      </c>
      <c r="P16" s="335">
        <f t="shared" si="3"/>
        <v>0</v>
      </c>
      <c r="Q16" s="405">
        <f t="shared" si="7"/>
        <v>-0.74504582125793062</v>
      </c>
      <c r="R16" s="348">
        <v>41282</v>
      </c>
      <c r="S16" s="348">
        <v>42140</v>
      </c>
      <c r="T16" s="353">
        <f t="shared" si="8"/>
        <v>-9312.4475524475529</v>
      </c>
      <c r="U16" s="622"/>
      <c r="V16" s="247"/>
    </row>
    <row r="17" spans="2:23" x14ac:dyDescent="0.25">
      <c r="B17" s="226" t="s">
        <v>48</v>
      </c>
      <c r="C17" s="260">
        <f>C18+C19</f>
        <v>9196058</v>
      </c>
      <c r="D17" s="304">
        <f>C17/$C$34</f>
        <v>0.16824501038149139</v>
      </c>
      <c r="E17" s="341" t="s">
        <v>1713</v>
      </c>
      <c r="F17" s="342">
        <f>'A-P_T46'!C9+C22-F27+EconomiaT46!C24-EconomiaT46!C5-198100</f>
        <v>226396.4558287058</v>
      </c>
      <c r="G17" s="272">
        <f t="shared" si="6"/>
        <v>4.1420001984799866E-3</v>
      </c>
      <c r="I17" s="334" t="s">
        <v>1006</v>
      </c>
      <c r="J17" s="337" t="s">
        <v>1781</v>
      </c>
      <c r="K17" s="335">
        <v>1526940</v>
      </c>
      <c r="L17" s="335">
        <v>0</v>
      </c>
      <c r="M17" s="335">
        <v>1399995</v>
      </c>
      <c r="N17" s="335">
        <f>M17-1301995</f>
        <v>98000</v>
      </c>
      <c r="O17" s="335">
        <f t="shared" si="2"/>
        <v>-224945</v>
      </c>
      <c r="P17" s="335">
        <f t="shared" si="3"/>
        <v>0</v>
      </c>
      <c r="Q17" s="405">
        <f>O17/K17</f>
        <v>-0.14731751083867081</v>
      </c>
      <c r="R17" s="348">
        <v>41831</v>
      </c>
      <c r="S17" s="348">
        <v>42098</v>
      </c>
      <c r="T17" s="353">
        <f>O17/((S17-R17)/7)</f>
        <v>-5897.4344569288387</v>
      </c>
      <c r="U17" s="622"/>
      <c r="V17" s="247"/>
    </row>
    <row r="18" spans="2:23" x14ac:dyDescent="0.25">
      <c r="B18" s="231" t="s">
        <v>48</v>
      </c>
      <c r="C18" s="232">
        <f>SUM(M5:M91)</f>
        <v>10003350</v>
      </c>
      <c r="D18" s="424">
        <f>C18/$C$34</f>
        <v>0.18301469223005032</v>
      </c>
      <c r="E18" s="228"/>
      <c r="F18" s="227"/>
      <c r="G18" s="270"/>
      <c r="I18" s="187" t="s">
        <v>1006</v>
      </c>
      <c r="J18" s="336" t="s">
        <v>2026</v>
      </c>
      <c r="K18" s="333">
        <v>1329024</v>
      </c>
      <c r="L18" s="333">
        <v>0</v>
      </c>
      <c r="M18" s="333">
        <v>0</v>
      </c>
      <c r="N18" s="333">
        <v>0</v>
      </c>
      <c r="O18" s="343">
        <f t="shared" si="2"/>
        <v>0</v>
      </c>
      <c r="P18" s="333">
        <f t="shared" si="3"/>
        <v>1329024</v>
      </c>
      <c r="Q18" s="403"/>
      <c r="R18" s="347">
        <v>42017</v>
      </c>
      <c r="S18" s="347"/>
      <c r="T18" s="344"/>
      <c r="U18" s="622"/>
      <c r="V18" s="247"/>
    </row>
    <row r="19" spans="2:23" x14ac:dyDescent="0.25">
      <c r="B19" s="245" t="s">
        <v>5</v>
      </c>
      <c r="C19" s="248">
        <f>SUM(N5:N91)*-1</f>
        <v>-807292</v>
      </c>
      <c r="D19" s="424">
        <f>C19/$C$34</f>
        <v>-1.476968184855891E-2</v>
      </c>
      <c r="E19" s="226" t="s">
        <v>1034</v>
      </c>
      <c r="F19" s="260">
        <f>F20+F21</f>
        <v>12048280</v>
      </c>
      <c r="G19" s="271">
        <f>F19/$F$34</f>
        <v>0.22042738243703067</v>
      </c>
      <c r="I19" s="187" t="s">
        <v>1006</v>
      </c>
      <c r="J19" s="336" t="s">
        <v>2023</v>
      </c>
      <c r="K19" s="333">
        <v>1309644</v>
      </c>
      <c r="L19" s="333">
        <v>0</v>
      </c>
      <c r="M19" s="333">
        <v>0</v>
      </c>
      <c r="N19" s="333">
        <v>0</v>
      </c>
      <c r="O19" s="343">
        <f t="shared" si="2"/>
        <v>0</v>
      </c>
      <c r="P19" s="333">
        <f t="shared" si="3"/>
        <v>1309644</v>
      </c>
      <c r="Q19" s="403"/>
      <c r="R19" s="347">
        <v>41993</v>
      </c>
      <c r="S19" s="347"/>
      <c r="T19" s="344"/>
      <c r="U19" s="622"/>
      <c r="V19" s="247"/>
      <c r="W19" s="247"/>
    </row>
    <row r="20" spans="2:23" x14ac:dyDescent="0.25">
      <c r="B20" s="235"/>
      <c r="C20" s="236"/>
      <c r="D20" s="424"/>
      <c r="E20" s="307" t="s">
        <v>50</v>
      </c>
      <c r="F20" s="427">
        <f>EconomiaT46!C19</f>
        <v>12244358</v>
      </c>
      <c r="G20" s="272">
        <f>F20/$F$34</f>
        <v>0.22401469616923878</v>
      </c>
      <c r="I20" s="187" t="s">
        <v>1006</v>
      </c>
      <c r="J20" s="336" t="s">
        <v>2031</v>
      </c>
      <c r="K20" s="333">
        <v>1289748</v>
      </c>
      <c r="L20" s="333">
        <v>0</v>
      </c>
      <c r="M20" s="333">
        <v>0</v>
      </c>
      <c r="N20" s="333">
        <v>0</v>
      </c>
      <c r="O20" s="343">
        <f t="shared" si="2"/>
        <v>0</v>
      </c>
      <c r="P20" s="333">
        <f t="shared" si="3"/>
        <v>1289748</v>
      </c>
      <c r="Q20" s="403"/>
      <c r="R20" s="347">
        <v>42026</v>
      </c>
      <c r="S20" s="347"/>
      <c r="T20" s="344"/>
      <c r="U20" s="622"/>
      <c r="V20" s="247"/>
    </row>
    <row r="21" spans="2:23" x14ac:dyDescent="0.25">
      <c r="B21" s="235"/>
      <c r="C21" s="236"/>
      <c r="D21" s="304"/>
      <c r="E21" s="245" t="s">
        <v>1140</v>
      </c>
      <c r="F21" s="238">
        <f>SUM(L5:L91)*-1</f>
        <v>-196078</v>
      </c>
      <c r="G21" s="272">
        <f>F21/$F$34</f>
        <v>-3.587313732208091E-3</v>
      </c>
      <c r="I21" s="334" t="s">
        <v>1006</v>
      </c>
      <c r="J21" s="337" t="s">
        <v>1826</v>
      </c>
      <c r="K21" s="335">
        <v>1226676</v>
      </c>
      <c r="L21" s="335">
        <v>0</v>
      </c>
      <c r="M21" s="335">
        <v>1100000</v>
      </c>
      <c r="N21" s="335">
        <f>M21*0.07</f>
        <v>77000.000000000015</v>
      </c>
      <c r="O21" s="335">
        <f t="shared" si="2"/>
        <v>-203676</v>
      </c>
      <c r="P21" s="335">
        <f t="shared" si="3"/>
        <v>0</v>
      </c>
      <c r="Q21" s="405">
        <f>O21/K21</f>
        <v>-0.16603895405143657</v>
      </c>
      <c r="R21" s="348">
        <v>41848</v>
      </c>
      <c r="S21" s="348">
        <v>42106</v>
      </c>
      <c r="T21" s="353">
        <f>O21/((S21-R21)/7)</f>
        <v>-5526.0930232558148</v>
      </c>
      <c r="U21" s="622"/>
      <c r="V21" s="247"/>
    </row>
    <row r="22" spans="2:23" x14ac:dyDescent="0.25">
      <c r="B22" s="226" t="s">
        <v>1328</v>
      </c>
      <c r="C22" s="242">
        <f>SUM(C23:C27)</f>
        <v>10287106.227914354</v>
      </c>
      <c r="D22" s="304">
        <f t="shared" ref="D22:D27" si="9">C22/$C$34</f>
        <v>0.18820610897745046</v>
      </c>
      <c r="E22" s="228"/>
      <c r="F22" s="227"/>
      <c r="G22" s="270"/>
      <c r="I22" s="187" t="s">
        <v>1006</v>
      </c>
      <c r="J22" s="336" t="s">
        <v>2101</v>
      </c>
      <c r="K22" s="333">
        <v>1020000</v>
      </c>
      <c r="L22" s="333">
        <v>35436</v>
      </c>
      <c r="M22" s="333">
        <v>0</v>
      </c>
      <c r="N22" s="333">
        <v>0</v>
      </c>
      <c r="O22" s="343">
        <f t="shared" ref="O22" si="10">IF(M22=0,0,M22-K22)-N22</f>
        <v>0</v>
      </c>
      <c r="P22" s="333">
        <f t="shared" ref="P22" si="11">IF(M22=0,K22,0)</f>
        <v>1020000</v>
      </c>
      <c r="Q22" s="403"/>
      <c r="R22" s="347">
        <v>42123</v>
      </c>
      <c r="S22" s="347"/>
      <c r="T22" s="344"/>
      <c r="U22" s="622"/>
      <c r="V22" s="247"/>
      <c r="W22" s="247"/>
    </row>
    <row r="23" spans="2:23" x14ac:dyDescent="0.25">
      <c r="B23" s="233" t="s">
        <v>42</v>
      </c>
      <c r="C23" s="234">
        <f>EconomiaT46!C11</f>
        <v>83310</v>
      </c>
      <c r="D23" s="424">
        <f t="shared" si="9"/>
        <v>1.5241847990608637E-3</v>
      </c>
      <c r="E23" s="429" t="s">
        <v>1600</v>
      </c>
      <c r="F23" s="242">
        <f>F24+F25</f>
        <v>0</v>
      </c>
      <c r="G23" s="271">
        <f>F23/$F$34</f>
        <v>0</v>
      </c>
      <c r="I23" s="187" t="s">
        <v>1004</v>
      </c>
      <c r="J23" s="336" t="s">
        <v>2070</v>
      </c>
      <c r="K23" s="333">
        <v>926160</v>
      </c>
      <c r="L23" s="333">
        <v>3370</v>
      </c>
      <c r="M23" s="333">
        <v>0</v>
      </c>
      <c r="N23" s="333">
        <v>0</v>
      </c>
      <c r="O23" s="343">
        <f t="shared" si="2"/>
        <v>0</v>
      </c>
      <c r="P23" s="333">
        <f t="shared" si="3"/>
        <v>926160</v>
      </c>
      <c r="Q23" s="403"/>
      <c r="R23" s="347">
        <v>42083</v>
      </c>
      <c r="S23" s="347"/>
      <c r="T23" s="344"/>
      <c r="U23" s="622"/>
      <c r="V23" s="247"/>
    </row>
    <row r="24" spans="2:23" x14ac:dyDescent="0.25">
      <c r="B24" s="233" t="s">
        <v>51</v>
      </c>
      <c r="C24" s="234">
        <f>EconomiaT46!C12</f>
        <v>1110000</v>
      </c>
      <c r="D24" s="424">
        <f t="shared" si="9"/>
        <v>2.0307827715250974E-2</v>
      </c>
      <c r="E24" s="307" t="s">
        <v>30</v>
      </c>
      <c r="F24" s="428">
        <f>EconomiaT46!C16</f>
        <v>0</v>
      </c>
      <c r="G24" s="272">
        <f>F24/$F$34</f>
        <v>0</v>
      </c>
      <c r="I24" s="334" t="s">
        <v>1004</v>
      </c>
      <c r="J24" s="337" t="s">
        <v>1765</v>
      </c>
      <c r="K24" s="335">
        <v>596830</v>
      </c>
      <c r="L24" s="335">
        <v>0</v>
      </c>
      <c r="M24" s="335">
        <v>3162000</v>
      </c>
      <c r="N24" s="335">
        <f>M24-2940660</f>
        <v>221340</v>
      </c>
      <c r="O24" s="335">
        <f t="shared" si="2"/>
        <v>2343830</v>
      </c>
      <c r="P24" s="335">
        <f t="shared" si="3"/>
        <v>0</v>
      </c>
      <c r="Q24" s="405">
        <f t="shared" ref="Q24:Q49" si="12">O24/K24</f>
        <v>3.9271316790375819</v>
      </c>
      <c r="R24" s="348">
        <v>41798</v>
      </c>
      <c r="S24" s="348">
        <v>42081</v>
      </c>
      <c r="T24" s="353">
        <f t="shared" ref="T24:T51" si="13">O24/((S24-R24)/7)</f>
        <v>57974.593639575971</v>
      </c>
      <c r="U24" s="622"/>
      <c r="V24" s="508"/>
      <c r="W24" s="509"/>
    </row>
    <row r="25" spans="2:23" x14ac:dyDescent="0.25">
      <c r="B25" s="233" t="s">
        <v>0</v>
      </c>
      <c r="C25" s="234">
        <f>EconomiaT46!C6</f>
        <v>6599832</v>
      </c>
      <c r="D25" s="424">
        <f t="shared" si="9"/>
        <v>0.12074617225729754</v>
      </c>
      <c r="E25" s="307" t="s">
        <v>11</v>
      </c>
      <c r="F25" s="428">
        <v>0</v>
      </c>
      <c r="G25" s="272">
        <f>F25/$F$34</f>
        <v>0</v>
      </c>
      <c r="I25" s="334" t="s">
        <v>1005</v>
      </c>
      <c r="J25" s="337" t="s">
        <v>2063</v>
      </c>
      <c r="K25" s="335">
        <v>292176</v>
      </c>
      <c r="L25" s="335">
        <v>0</v>
      </c>
      <c r="M25" s="335">
        <v>404000</v>
      </c>
      <c r="N25" s="335">
        <f>M25-348975</f>
        <v>55025</v>
      </c>
      <c r="O25" s="335">
        <f t="shared" si="2"/>
        <v>56799</v>
      </c>
      <c r="P25" s="335">
        <f t="shared" si="3"/>
        <v>0</v>
      </c>
      <c r="Q25" s="405">
        <f t="shared" si="12"/>
        <v>0.19439995071463775</v>
      </c>
      <c r="R25" s="348">
        <v>42074</v>
      </c>
      <c r="S25" s="348">
        <v>42081</v>
      </c>
      <c r="T25" s="353">
        <f t="shared" si="13"/>
        <v>56799</v>
      </c>
      <c r="U25" s="622"/>
      <c r="V25" s="508"/>
      <c r="W25" s="509"/>
    </row>
    <row r="26" spans="2:23" x14ac:dyDescent="0.25">
      <c r="B26" s="233" t="s">
        <v>2</v>
      </c>
      <c r="C26" s="234">
        <f>EconomiaT46!C7</f>
        <v>1904469.2279143538</v>
      </c>
      <c r="D26" s="424">
        <f t="shared" si="9"/>
        <v>3.4842912585118686E-2</v>
      </c>
      <c r="E26" s="226"/>
      <c r="F26" s="242"/>
      <c r="G26" s="271"/>
      <c r="I26" s="334" t="s">
        <v>1004</v>
      </c>
      <c r="J26" s="337" t="s">
        <v>2041</v>
      </c>
      <c r="K26" s="335">
        <v>41908</v>
      </c>
      <c r="L26" s="335">
        <v>0</v>
      </c>
      <c r="M26" s="335">
        <v>200000</v>
      </c>
      <c r="N26" s="335">
        <f>M26-176680</f>
        <v>23320</v>
      </c>
      <c r="O26" s="335">
        <f t="shared" si="2"/>
        <v>134772</v>
      </c>
      <c r="P26" s="335">
        <f t="shared" si="3"/>
        <v>0</v>
      </c>
      <c r="Q26" s="405">
        <f t="shared" si="12"/>
        <v>3.2159014985205689</v>
      </c>
      <c r="R26" s="348">
        <v>41974</v>
      </c>
      <c r="S26" s="348">
        <v>42081</v>
      </c>
      <c r="T26" s="353">
        <f t="shared" si="13"/>
        <v>8816.859813084111</v>
      </c>
      <c r="U26" s="622"/>
      <c r="V26" s="508"/>
      <c r="W26" s="509"/>
    </row>
    <row r="27" spans="2:23" x14ac:dyDescent="0.25">
      <c r="B27" s="233" t="s">
        <v>5</v>
      </c>
      <c r="C27" s="234">
        <f>EconomiaT46!C10</f>
        <v>589495</v>
      </c>
      <c r="D27" s="424">
        <f t="shared" si="9"/>
        <v>1.0785011620722408E-2</v>
      </c>
      <c r="E27" s="226" t="s">
        <v>1601</v>
      </c>
      <c r="F27" s="242">
        <f>SUM(F28:F33)</f>
        <v>7568717</v>
      </c>
      <c r="G27" s="271">
        <f t="shared" ref="G27:G33" si="14">F27/$F$34</f>
        <v>0.13847225302837049</v>
      </c>
      <c r="I27" s="334" t="s">
        <v>1005</v>
      </c>
      <c r="J27" s="337" t="s">
        <v>1977</v>
      </c>
      <c r="K27" s="335">
        <v>38500</v>
      </c>
      <c r="L27" s="335">
        <v>0</v>
      </c>
      <c r="M27" s="335">
        <v>58140</v>
      </c>
      <c r="N27" s="335">
        <f>M27-54070</f>
        <v>4070</v>
      </c>
      <c r="O27" s="335">
        <f t="shared" si="2"/>
        <v>15570</v>
      </c>
      <c r="P27" s="335">
        <f t="shared" si="3"/>
        <v>0</v>
      </c>
      <c r="Q27" s="405">
        <f t="shared" si="12"/>
        <v>0.40441558441558439</v>
      </c>
      <c r="R27" s="348">
        <v>41956</v>
      </c>
      <c r="S27" s="348">
        <v>42091</v>
      </c>
      <c r="T27" s="353">
        <f t="shared" si="13"/>
        <v>807.33333333333337</v>
      </c>
      <c r="U27" s="622"/>
      <c r="V27" s="508"/>
      <c r="W27" s="509"/>
    </row>
    <row r="28" spans="2:23" x14ac:dyDescent="0.25">
      <c r="B28" s="226"/>
      <c r="C28" s="242"/>
      <c r="D28" s="304"/>
      <c r="E28" s="307" t="s">
        <v>882</v>
      </c>
      <c r="F28" s="428">
        <f>EconomiaT46!C14</f>
        <v>5536162</v>
      </c>
      <c r="G28" s="272">
        <f t="shared" si="14"/>
        <v>0.10128596765740476</v>
      </c>
      <c r="I28" s="334" t="s">
        <v>1005</v>
      </c>
      <c r="J28" s="337" t="s">
        <v>2064</v>
      </c>
      <c r="K28" s="335">
        <v>36924</v>
      </c>
      <c r="L28" s="335">
        <v>0</v>
      </c>
      <c r="M28" s="335">
        <v>57000</v>
      </c>
      <c r="N28" s="335">
        <f>M28-49237</f>
        <v>7763</v>
      </c>
      <c r="O28" s="335">
        <f t="shared" si="2"/>
        <v>12313</v>
      </c>
      <c r="P28" s="335">
        <f t="shared" si="3"/>
        <v>0</v>
      </c>
      <c r="Q28" s="405">
        <f t="shared" si="12"/>
        <v>0.33346874661466797</v>
      </c>
      <c r="R28" s="348">
        <v>42074</v>
      </c>
      <c r="S28" s="348">
        <v>42081</v>
      </c>
      <c r="T28" s="353">
        <f t="shared" si="13"/>
        <v>12313</v>
      </c>
      <c r="U28" s="622"/>
      <c r="V28" s="508"/>
      <c r="W28" s="509"/>
    </row>
    <row r="29" spans="2:23" x14ac:dyDescent="0.25">
      <c r="B29" s="226" t="s">
        <v>1200</v>
      </c>
      <c r="C29" s="242">
        <f>EconomiaT46!S24</f>
        <v>1449120.2279143538</v>
      </c>
      <c r="D29" s="304">
        <f>C29/$C$34</f>
        <v>2.6512147682135067E-2</v>
      </c>
      <c r="E29" s="307" t="s">
        <v>29</v>
      </c>
      <c r="F29" s="428">
        <f>EconomiaT46!C15</f>
        <v>654554</v>
      </c>
      <c r="G29" s="272">
        <f t="shared" si="14"/>
        <v>1.1975288164259809E-2</v>
      </c>
      <c r="I29" s="334" t="s">
        <v>1005</v>
      </c>
      <c r="J29" s="337" t="s">
        <v>2060</v>
      </c>
      <c r="K29" s="335">
        <v>35708</v>
      </c>
      <c r="L29" s="335">
        <v>0</v>
      </c>
      <c r="M29" s="335">
        <v>79000</v>
      </c>
      <c r="N29" s="335">
        <f>M29-68517</f>
        <v>10483</v>
      </c>
      <c r="O29" s="335">
        <f t="shared" si="2"/>
        <v>32809</v>
      </c>
      <c r="P29" s="335">
        <f t="shared" si="3"/>
        <v>0</v>
      </c>
      <c r="Q29" s="405">
        <f t="shared" si="12"/>
        <v>0.91881371121317357</v>
      </c>
      <c r="R29" s="348">
        <v>42073</v>
      </c>
      <c r="S29" s="348">
        <v>42081</v>
      </c>
      <c r="T29" s="353">
        <f t="shared" si="13"/>
        <v>28707.875</v>
      </c>
      <c r="U29" s="622"/>
      <c r="V29" s="508"/>
      <c r="W29" s="509"/>
    </row>
    <row r="30" spans="2:23" x14ac:dyDescent="0.25">
      <c r="B30" s="226"/>
      <c r="C30" s="242"/>
      <c r="D30" s="304"/>
      <c r="E30" s="307" t="s">
        <v>6</v>
      </c>
      <c r="F30" s="428">
        <f>EconomiaT46!C17</f>
        <v>960000</v>
      </c>
      <c r="G30" s="272">
        <f t="shared" si="14"/>
        <v>1.7563526672649495E-2</v>
      </c>
      <c r="I30" s="334" t="s">
        <v>1005</v>
      </c>
      <c r="J30" s="337" t="s">
        <v>2054</v>
      </c>
      <c r="K30" s="335">
        <v>35612</v>
      </c>
      <c r="L30" s="335">
        <v>0</v>
      </c>
      <c r="M30" s="335">
        <v>77520</v>
      </c>
      <c r="N30" s="335">
        <f>M30-67233</f>
        <v>10287</v>
      </c>
      <c r="O30" s="335">
        <f t="shared" si="2"/>
        <v>31621</v>
      </c>
      <c r="P30" s="335">
        <f t="shared" si="3"/>
        <v>0</v>
      </c>
      <c r="Q30" s="405">
        <f t="shared" si="12"/>
        <v>0.88793103448275867</v>
      </c>
      <c r="R30" s="348">
        <v>42072</v>
      </c>
      <c r="S30" s="348">
        <v>42081</v>
      </c>
      <c r="T30" s="353">
        <f t="shared" si="13"/>
        <v>24594.111111111109</v>
      </c>
      <c r="U30" s="622"/>
      <c r="V30" s="508"/>
      <c r="W30" s="509"/>
    </row>
    <row r="31" spans="2:23" x14ac:dyDescent="0.25">
      <c r="B31" s="226"/>
      <c r="C31" s="242"/>
      <c r="D31" s="304"/>
      <c r="E31" s="307" t="s">
        <v>8</v>
      </c>
      <c r="F31" s="428">
        <f>EconomiaT46!C18</f>
        <v>320000</v>
      </c>
      <c r="G31" s="272">
        <f t="shared" si="14"/>
        <v>5.8545088908831646E-3</v>
      </c>
      <c r="I31" s="334" t="s">
        <v>1005</v>
      </c>
      <c r="J31" s="337" t="s">
        <v>2049</v>
      </c>
      <c r="K31" s="335">
        <v>32804</v>
      </c>
      <c r="L31" s="335">
        <v>0</v>
      </c>
      <c r="M31" s="335">
        <v>36000</v>
      </c>
      <c r="N31" s="335">
        <f>M31-31766</f>
        <v>4234</v>
      </c>
      <c r="O31" s="335">
        <f t="shared" si="2"/>
        <v>-1038</v>
      </c>
      <c r="P31" s="335">
        <f t="shared" si="3"/>
        <v>0</v>
      </c>
      <c r="Q31" s="405">
        <f t="shared" si="12"/>
        <v>-3.1642482624070233E-2</v>
      </c>
      <c r="R31" s="348">
        <v>42068</v>
      </c>
      <c r="S31" s="348">
        <v>42091</v>
      </c>
      <c r="T31" s="353">
        <f t="shared" si="13"/>
        <v>-315.91304347826087</v>
      </c>
      <c r="U31" s="622"/>
      <c r="V31" s="508"/>
      <c r="W31" s="509"/>
    </row>
    <row r="32" spans="2:23" x14ac:dyDescent="0.25">
      <c r="B32" s="226"/>
      <c r="C32" s="242"/>
      <c r="D32" s="304"/>
      <c r="E32" s="307" t="s">
        <v>818</v>
      </c>
      <c r="F32" s="428">
        <f>EconomiaT46!C21</f>
        <v>98001</v>
      </c>
      <c r="G32" s="272">
        <f t="shared" si="14"/>
        <v>1.7929616431732532E-3</v>
      </c>
      <c r="I32" s="334" t="s">
        <v>1005</v>
      </c>
      <c r="J32" s="337" t="s">
        <v>1975</v>
      </c>
      <c r="K32" s="335">
        <v>31000</v>
      </c>
      <c r="L32" s="335">
        <v>0</v>
      </c>
      <c r="M32" s="335">
        <v>89760</v>
      </c>
      <c r="N32" s="335">
        <f>M32-83477</f>
        <v>6283</v>
      </c>
      <c r="O32" s="335">
        <f t="shared" si="2"/>
        <v>52477</v>
      </c>
      <c r="P32" s="335">
        <f t="shared" si="3"/>
        <v>0</v>
      </c>
      <c r="Q32" s="405">
        <f t="shared" si="12"/>
        <v>1.6928064516129033</v>
      </c>
      <c r="R32" s="348">
        <v>41956</v>
      </c>
      <c r="S32" s="348">
        <v>42081</v>
      </c>
      <c r="T32" s="353">
        <f t="shared" si="13"/>
        <v>2938.712</v>
      </c>
      <c r="U32" s="622"/>
      <c r="V32" s="508"/>
      <c r="W32" s="509"/>
    </row>
    <row r="33" spans="2:23" x14ac:dyDescent="0.25">
      <c r="B33" s="230"/>
      <c r="C33" s="229"/>
      <c r="D33" s="304"/>
      <c r="E33" s="431" t="s">
        <v>10</v>
      </c>
      <c r="F33" s="432">
        <f>EconomiaT46!C22</f>
        <v>0</v>
      </c>
      <c r="G33" s="430">
        <f t="shared" si="14"/>
        <v>0</v>
      </c>
      <c r="I33" s="334" t="s">
        <v>1005</v>
      </c>
      <c r="J33" s="337" t="s">
        <v>2055</v>
      </c>
      <c r="K33" s="335">
        <v>30756</v>
      </c>
      <c r="L33" s="335">
        <v>0</v>
      </c>
      <c r="M33" s="335">
        <v>73000</v>
      </c>
      <c r="N33" s="335">
        <f>M33-63430</f>
        <v>9570</v>
      </c>
      <c r="O33" s="335">
        <f t="shared" si="2"/>
        <v>32674</v>
      </c>
      <c r="P33" s="335">
        <f t="shared" si="3"/>
        <v>0</v>
      </c>
      <c r="Q33" s="405">
        <f t="shared" si="12"/>
        <v>1.0623618155806998</v>
      </c>
      <c r="R33" s="348">
        <v>42072</v>
      </c>
      <c r="S33" s="348">
        <v>42081</v>
      </c>
      <c r="T33" s="353">
        <f t="shared" si="13"/>
        <v>25413.111111111109</v>
      </c>
      <c r="U33" s="622"/>
      <c r="V33" s="508"/>
      <c r="W33" s="509"/>
    </row>
    <row r="34" spans="2:23" ht="18.75" x14ac:dyDescent="0.3">
      <c r="B34" s="239" t="s">
        <v>291</v>
      </c>
      <c r="C34" s="240">
        <f>C22+C17+C11+C6+C29</f>
        <v>54658726.455828711</v>
      </c>
      <c r="D34" s="43">
        <f>C34/$C$34</f>
        <v>1</v>
      </c>
      <c r="E34" s="366" t="s">
        <v>291</v>
      </c>
      <c r="F34" s="367">
        <f>F27+F19+F11+F6+F23</f>
        <v>54658726.455828704</v>
      </c>
      <c r="G34" s="43">
        <f>F34/$F$34</f>
        <v>1</v>
      </c>
      <c r="I34" s="334" t="s">
        <v>1005</v>
      </c>
      <c r="J34" s="337" t="s">
        <v>2051</v>
      </c>
      <c r="K34" s="335">
        <v>30670</v>
      </c>
      <c r="L34" s="335">
        <v>0</v>
      </c>
      <c r="M34" s="335">
        <v>79000</v>
      </c>
      <c r="N34" s="335">
        <f>M34-68643</f>
        <v>10357</v>
      </c>
      <c r="O34" s="335">
        <f t="shared" si="2"/>
        <v>37973</v>
      </c>
      <c r="P34" s="335">
        <f t="shared" si="3"/>
        <v>0</v>
      </c>
      <c r="Q34" s="405">
        <f t="shared" si="12"/>
        <v>1.2381154222367134</v>
      </c>
      <c r="R34" s="348">
        <v>42071</v>
      </c>
      <c r="S34" s="348">
        <v>42081</v>
      </c>
      <c r="T34" s="353">
        <f t="shared" si="13"/>
        <v>26581.1</v>
      </c>
      <c r="U34" s="622"/>
      <c r="V34" s="508"/>
      <c r="W34" s="509"/>
    </row>
    <row r="35" spans="2:23" x14ac:dyDescent="0.25">
      <c r="F35" s="417">
        <f>F34-C34</f>
        <v>0</v>
      </c>
      <c r="I35" s="334" t="s">
        <v>1004</v>
      </c>
      <c r="J35" s="337" t="s">
        <v>2043</v>
      </c>
      <c r="K35" s="335">
        <v>25510</v>
      </c>
      <c r="L35" s="335">
        <v>0</v>
      </c>
      <c r="M35" s="335">
        <v>105000</v>
      </c>
      <c r="N35" s="335">
        <f>M35-91550</f>
        <v>13450</v>
      </c>
      <c r="O35" s="335">
        <f t="shared" si="2"/>
        <v>66040</v>
      </c>
      <c r="P35" s="335">
        <f t="shared" si="3"/>
        <v>0</v>
      </c>
      <c r="Q35" s="405">
        <f t="shared" si="12"/>
        <v>2.5887887103096823</v>
      </c>
      <c r="R35" s="348">
        <v>42066</v>
      </c>
      <c r="S35" s="348">
        <v>42081</v>
      </c>
      <c r="T35" s="353">
        <f t="shared" si="13"/>
        <v>30818.666666666668</v>
      </c>
      <c r="U35" s="622"/>
      <c r="V35" s="508"/>
      <c r="W35" s="509"/>
    </row>
    <row r="36" spans="2:23" x14ac:dyDescent="0.25">
      <c r="I36" s="334" t="s">
        <v>1005</v>
      </c>
      <c r="J36" s="337" t="s">
        <v>2061</v>
      </c>
      <c r="K36" s="335">
        <v>10570</v>
      </c>
      <c r="L36" s="335">
        <v>0</v>
      </c>
      <c r="M36" s="335">
        <v>25000</v>
      </c>
      <c r="N36" s="335">
        <f>M36-21663</f>
        <v>3337</v>
      </c>
      <c r="O36" s="335">
        <f t="shared" si="2"/>
        <v>11093</v>
      </c>
      <c r="P36" s="335">
        <f t="shared" si="3"/>
        <v>0</v>
      </c>
      <c r="Q36" s="405">
        <f t="shared" si="12"/>
        <v>1.0494796594134344</v>
      </c>
      <c r="R36" s="348">
        <v>42073</v>
      </c>
      <c r="S36" s="348">
        <v>42081</v>
      </c>
      <c r="T36" s="353">
        <f t="shared" si="13"/>
        <v>9706.375</v>
      </c>
      <c r="U36" s="622"/>
      <c r="V36" s="508"/>
      <c r="W36" s="509"/>
    </row>
    <row r="37" spans="2:23" x14ac:dyDescent="0.25">
      <c r="I37" s="334" t="s">
        <v>1005</v>
      </c>
      <c r="J37" s="337" t="s">
        <v>2046</v>
      </c>
      <c r="K37" s="335">
        <v>10530</v>
      </c>
      <c r="L37" s="335">
        <v>0</v>
      </c>
      <c r="M37" s="335">
        <v>20000</v>
      </c>
      <c r="N37" s="335">
        <f>M37-18392</f>
        <v>1608</v>
      </c>
      <c r="O37" s="335">
        <f t="shared" si="2"/>
        <v>7862</v>
      </c>
      <c r="P37" s="335">
        <f t="shared" si="3"/>
        <v>0</v>
      </c>
      <c r="Q37" s="405">
        <f t="shared" si="12"/>
        <v>0.74662867996201332</v>
      </c>
      <c r="R37" s="348">
        <v>42067</v>
      </c>
      <c r="S37" s="348">
        <v>42081</v>
      </c>
      <c r="T37" s="353">
        <f t="shared" si="13"/>
        <v>3931</v>
      </c>
      <c r="U37" s="622"/>
      <c r="V37" s="508"/>
      <c r="W37" s="509"/>
    </row>
    <row r="38" spans="2:23" x14ac:dyDescent="0.25">
      <c r="H38" s="225"/>
      <c r="I38" s="334" t="s">
        <v>1005</v>
      </c>
      <c r="J38" s="337" t="s">
        <v>2053</v>
      </c>
      <c r="K38" s="335">
        <v>10492</v>
      </c>
      <c r="L38" s="335">
        <v>0</v>
      </c>
      <c r="M38" s="335">
        <v>15000</v>
      </c>
      <c r="N38" s="335">
        <f>M38-13034</f>
        <v>1966</v>
      </c>
      <c r="O38" s="335">
        <f t="shared" si="2"/>
        <v>2542</v>
      </c>
      <c r="P38" s="335">
        <f t="shared" si="3"/>
        <v>0</v>
      </c>
      <c r="Q38" s="405">
        <f t="shared" si="12"/>
        <v>0.24227983225314526</v>
      </c>
      <c r="R38" s="348">
        <v>42072</v>
      </c>
      <c r="S38" s="348">
        <v>42081</v>
      </c>
      <c r="T38" s="353">
        <f t="shared" si="13"/>
        <v>1977.1111111111109</v>
      </c>
      <c r="U38" s="622"/>
      <c r="V38" s="508"/>
      <c r="W38" s="509"/>
    </row>
    <row r="39" spans="2:23" x14ac:dyDescent="0.25">
      <c r="I39" s="334" t="s">
        <v>1005</v>
      </c>
      <c r="J39" s="337" t="s">
        <v>2056</v>
      </c>
      <c r="K39" s="335">
        <v>8490</v>
      </c>
      <c r="L39" s="335">
        <v>0</v>
      </c>
      <c r="M39" s="335">
        <v>15000</v>
      </c>
      <c r="N39" s="335">
        <f>M39-13155</f>
        <v>1845</v>
      </c>
      <c r="O39" s="335">
        <f t="shared" si="2"/>
        <v>4665</v>
      </c>
      <c r="P39" s="335">
        <f t="shared" si="3"/>
        <v>0</v>
      </c>
      <c r="Q39" s="405">
        <f t="shared" si="12"/>
        <v>0.54946996466431097</v>
      </c>
      <c r="R39" s="348">
        <v>42072</v>
      </c>
      <c r="S39" s="348">
        <v>42091</v>
      </c>
      <c r="T39" s="353">
        <f t="shared" si="13"/>
        <v>1718.6842105263156</v>
      </c>
      <c r="U39" s="622"/>
      <c r="V39" s="508"/>
      <c r="W39" s="509"/>
    </row>
    <row r="40" spans="2:23" x14ac:dyDescent="0.25">
      <c r="C40" s="129"/>
      <c r="E40" s="30"/>
      <c r="I40" s="334" t="s">
        <v>1005</v>
      </c>
      <c r="J40" s="337" t="s">
        <v>2059</v>
      </c>
      <c r="K40" s="335">
        <v>7444</v>
      </c>
      <c r="L40" s="335">
        <v>0</v>
      </c>
      <c r="M40" s="335">
        <v>17000</v>
      </c>
      <c r="N40" s="335">
        <f>M40-14715</f>
        <v>2285</v>
      </c>
      <c r="O40" s="335">
        <f t="shared" si="2"/>
        <v>7271</v>
      </c>
      <c r="P40" s="335">
        <f t="shared" si="3"/>
        <v>0</v>
      </c>
      <c r="Q40" s="405">
        <f t="shared" si="12"/>
        <v>0.97675980655561523</v>
      </c>
      <c r="R40" s="348">
        <v>42073</v>
      </c>
      <c r="S40" s="348">
        <v>42081</v>
      </c>
      <c r="T40" s="353">
        <f t="shared" si="13"/>
        <v>6362.125</v>
      </c>
      <c r="U40" s="622"/>
      <c r="V40" s="508"/>
      <c r="W40" s="509"/>
    </row>
    <row r="41" spans="2:23" x14ac:dyDescent="0.25">
      <c r="E41" s="30"/>
      <c r="I41" s="334" t="s">
        <v>1005</v>
      </c>
      <c r="J41" s="337" t="s">
        <v>2052</v>
      </c>
      <c r="K41" s="335">
        <v>5684</v>
      </c>
      <c r="L41" s="335">
        <v>0</v>
      </c>
      <c r="M41" s="335">
        <v>21000</v>
      </c>
      <c r="N41" s="335">
        <f>M41-17516</f>
        <v>3484</v>
      </c>
      <c r="O41" s="335">
        <f t="shared" si="2"/>
        <v>11832</v>
      </c>
      <c r="P41" s="335">
        <f t="shared" si="3"/>
        <v>0</v>
      </c>
      <c r="Q41" s="405">
        <f t="shared" si="12"/>
        <v>2.0816326530612246</v>
      </c>
      <c r="R41" s="348">
        <v>42072</v>
      </c>
      <c r="S41" s="348">
        <v>42081</v>
      </c>
      <c r="T41" s="353">
        <f t="shared" si="13"/>
        <v>9202.6666666666661</v>
      </c>
      <c r="U41" s="622"/>
      <c r="V41" s="508"/>
      <c r="W41" s="509"/>
    </row>
    <row r="42" spans="2:23" x14ac:dyDescent="0.25">
      <c r="I42" s="334" t="s">
        <v>1005</v>
      </c>
      <c r="J42" s="337" t="s">
        <v>2062</v>
      </c>
      <c r="K42" s="335">
        <v>5470</v>
      </c>
      <c r="L42" s="335">
        <v>0</v>
      </c>
      <c r="M42" s="335">
        <v>12000</v>
      </c>
      <c r="N42" s="335">
        <f>M42-10387</f>
        <v>1613</v>
      </c>
      <c r="O42" s="335">
        <f t="shared" si="2"/>
        <v>4917</v>
      </c>
      <c r="P42" s="335">
        <f t="shared" si="3"/>
        <v>0</v>
      </c>
      <c r="Q42" s="405">
        <f t="shared" si="12"/>
        <v>0.89890310786106031</v>
      </c>
      <c r="R42" s="348">
        <v>42073</v>
      </c>
      <c r="S42" s="348">
        <v>42084</v>
      </c>
      <c r="T42" s="353">
        <f t="shared" si="13"/>
        <v>3129</v>
      </c>
      <c r="U42" s="622"/>
      <c r="V42" s="508"/>
      <c r="W42" s="509"/>
    </row>
    <row r="43" spans="2:23" ht="14.25" customHeight="1" x14ac:dyDescent="0.25">
      <c r="I43" s="334" t="s">
        <v>1005</v>
      </c>
      <c r="J43" s="337" t="s">
        <v>2057</v>
      </c>
      <c r="K43" s="335">
        <v>5444</v>
      </c>
      <c r="L43" s="335">
        <v>0</v>
      </c>
      <c r="M43" s="335">
        <v>19500</v>
      </c>
      <c r="N43" s="335">
        <f>M43-16912</f>
        <v>2588</v>
      </c>
      <c r="O43" s="335">
        <f t="shared" si="2"/>
        <v>11468</v>
      </c>
      <c r="P43" s="335">
        <f t="shared" si="3"/>
        <v>0</v>
      </c>
      <c r="Q43" s="405">
        <f t="shared" si="12"/>
        <v>2.106539309331374</v>
      </c>
      <c r="R43" s="348">
        <v>42072</v>
      </c>
      <c r="S43" s="348">
        <v>42081</v>
      </c>
      <c r="T43" s="353">
        <f t="shared" si="13"/>
        <v>8919.5555555555547</v>
      </c>
      <c r="U43" s="622"/>
      <c r="V43" s="508"/>
      <c r="W43" s="509"/>
    </row>
    <row r="44" spans="2:23" s="2" customFormat="1" x14ac:dyDescent="0.25">
      <c r="B44" s="212"/>
      <c r="C44" s="212"/>
      <c r="D44" s="212"/>
      <c r="F44" s="212"/>
      <c r="G44" s="212"/>
      <c r="I44" s="334" t="s">
        <v>1005</v>
      </c>
      <c r="J44" s="337" t="s">
        <v>2044</v>
      </c>
      <c r="K44" s="335">
        <v>2756</v>
      </c>
      <c r="L44" s="335">
        <v>0</v>
      </c>
      <c r="M44" s="335">
        <v>73440</v>
      </c>
      <c r="N44" s="335">
        <f>M44-64223</f>
        <v>9217</v>
      </c>
      <c r="O44" s="335">
        <f t="shared" si="2"/>
        <v>61467</v>
      </c>
      <c r="P44" s="335">
        <f t="shared" si="3"/>
        <v>0</v>
      </c>
      <c r="Q44" s="405">
        <f t="shared" si="12"/>
        <v>22.302975326560233</v>
      </c>
      <c r="R44" s="348">
        <v>42066</v>
      </c>
      <c r="S44" s="348">
        <v>42081</v>
      </c>
      <c r="T44" s="353">
        <f t="shared" si="13"/>
        <v>28684.600000000002</v>
      </c>
      <c r="U44" s="622"/>
      <c r="V44" s="508"/>
      <c r="W44" s="509"/>
    </row>
    <row r="45" spans="2:23" x14ac:dyDescent="0.25">
      <c r="I45" s="334" t="s">
        <v>1005</v>
      </c>
      <c r="J45" s="337" t="s">
        <v>2045</v>
      </c>
      <c r="K45" s="335">
        <v>2612</v>
      </c>
      <c r="L45" s="335">
        <v>0</v>
      </c>
      <c r="M45" s="335">
        <v>41000</v>
      </c>
      <c r="N45" s="335">
        <f>M45-35855</f>
        <v>5145</v>
      </c>
      <c r="O45" s="335">
        <f t="shared" si="2"/>
        <v>33243</v>
      </c>
      <c r="P45" s="335">
        <f t="shared" si="3"/>
        <v>0</v>
      </c>
      <c r="Q45" s="405">
        <f t="shared" si="12"/>
        <v>12.727029096477795</v>
      </c>
      <c r="R45" s="348">
        <v>42066</v>
      </c>
      <c r="S45" s="348">
        <v>42081</v>
      </c>
      <c r="T45" s="353">
        <f t="shared" si="13"/>
        <v>15513.4</v>
      </c>
      <c r="U45" s="622"/>
      <c r="V45" s="508"/>
      <c r="W45" s="509"/>
    </row>
    <row r="46" spans="2:23" x14ac:dyDescent="0.25">
      <c r="I46" s="334" t="s">
        <v>1005</v>
      </c>
      <c r="J46" s="337" t="s">
        <v>2050</v>
      </c>
      <c r="K46" s="335">
        <v>2516</v>
      </c>
      <c r="L46" s="335">
        <v>0</v>
      </c>
      <c r="M46" s="335">
        <v>29000</v>
      </c>
      <c r="N46" s="335">
        <f>M46-25361</f>
        <v>3639</v>
      </c>
      <c r="O46" s="335">
        <f t="shared" si="2"/>
        <v>22845</v>
      </c>
      <c r="P46" s="335">
        <f t="shared" si="3"/>
        <v>0</v>
      </c>
      <c r="Q46" s="405">
        <f t="shared" si="12"/>
        <v>9.0798887122416527</v>
      </c>
      <c r="R46" s="348">
        <v>42068</v>
      </c>
      <c r="S46" s="348">
        <v>42081</v>
      </c>
      <c r="T46" s="353">
        <f t="shared" si="13"/>
        <v>12301.153846153846</v>
      </c>
      <c r="U46" s="247"/>
      <c r="V46" s="508"/>
      <c r="W46" s="509"/>
    </row>
    <row r="47" spans="2:23" x14ac:dyDescent="0.25">
      <c r="E47" s="225"/>
      <c r="I47" s="334" t="s">
        <v>1005</v>
      </c>
      <c r="J47" s="337" t="s">
        <v>2048</v>
      </c>
      <c r="K47" s="335">
        <v>1852</v>
      </c>
      <c r="L47" s="335">
        <v>0</v>
      </c>
      <c r="M47" s="335">
        <v>19000</v>
      </c>
      <c r="N47" s="335">
        <f>M47-16616</f>
        <v>2384</v>
      </c>
      <c r="O47" s="335">
        <f t="shared" si="2"/>
        <v>14764</v>
      </c>
      <c r="P47" s="335">
        <f t="shared" si="3"/>
        <v>0</v>
      </c>
      <c r="Q47" s="405">
        <f t="shared" si="12"/>
        <v>7.9719222462203021</v>
      </c>
      <c r="R47" s="348">
        <v>42068</v>
      </c>
      <c r="S47" s="348">
        <v>42081</v>
      </c>
      <c r="T47" s="353">
        <f t="shared" si="13"/>
        <v>7949.8461538461534</v>
      </c>
      <c r="V47" s="508"/>
      <c r="W47" s="509"/>
    </row>
    <row r="48" spans="2:23" x14ac:dyDescent="0.25">
      <c r="I48" s="334" t="s">
        <v>1005</v>
      </c>
      <c r="J48" s="337" t="s">
        <v>2047</v>
      </c>
      <c r="K48" s="335">
        <v>1828</v>
      </c>
      <c r="L48" s="335">
        <v>0</v>
      </c>
      <c r="M48" s="335">
        <v>21000</v>
      </c>
      <c r="N48" s="335">
        <f>M48-18247</f>
        <v>2753</v>
      </c>
      <c r="O48" s="335">
        <f t="shared" si="2"/>
        <v>16419</v>
      </c>
      <c r="P48" s="335">
        <f t="shared" si="3"/>
        <v>0</v>
      </c>
      <c r="Q48" s="405">
        <f t="shared" si="12"/>
        <v>8.9819474835886215</v>
      </c>
      <c r="R48" s="348">
        <v>42068</v>
      </c>
      <c r="S48" s="348">
        <v>42081</v>
      </c>
      <c r="T48" s="353">
        <f t="shared" si="13"/>
        <v>8841</v>
      </c>
      <c r="V48" s="508"/>
      <c r="W48" s="509"/>
    </row>
    <row r="49" spans="9:23" x14ac:dyDescent="0.25">
      <c r="I49" s="334" t="s">
        <v>1005</v>
      </c>
      <c r="J49" s="337" t="s">
        <v>2058</v>
      </c>
      <c r="K49" s="335">
        <v>1516</v>
      </c>
      <c r="L49" s="335">
        <v>0</v>
      </c>
      <c r="M49" s="335">
        <v>8000</v>
      </c>
      <c r="N49" s="335">
        <f>M49-6925</f>
        <v>1075</v>
      </c>
      <c r="O49" s="335">
        <f t="shared" si="2"/>
        <v>5409</v>
      </c>
      <c r="P49" s="335">
        <f t="shared" si="3"/>
        <v>0</v>
      </c>
      <c r="Q49" s="405">
        <f t="shared" si="12"/>
        <v>3.5679419525065965</v>
      </c>
      <c r="R49" s="348">
        <v>42073</v>
      </c>
      <c r="S49" s="348">
        <v>42084</v>
      </c>
      <c r="T49" s="353">
        <f t="shared" si="13"/>
        <v>3442.090909090909</v>
      </c>
      <c r="V49" s="508"/>
      <c r="W49" s="509"/>
    </row>
    <row r="50" spans="9:23" x14ac:dyDescent="0.25">
      <c r="I50" s="187" t="s">
        <v>1003</v>
      </c>
      <c r="J50" s="336" t="s">
        <v>1017</v>
      </c>
      <c r="K50" s="333">
        <v>0</v>
      </c>
      <c r="L50" s="333">
        <v>0</v>
      </c>
      <c r="M50" s="333">
        <v>0</v>
      </c>
      <c r="N50" s="333">
        <v>0</v>
      </c>
      <c r="O50" s="343">
        <f t="shared" si="2"/>
        <v>0</v>
      </c>
      <c r="P50" s="333">
        <f t="shared" si="3"/>
        <v>0</v>
      </c>
      <c r="Q50" s="403"/>
      <c r="R50" s="347">
        <v>40993</v>
      </c>
      <c r="S50" s="347"/>
      <c r="T50" s="344"/>
      <c r="V50" s="508"/>
      <c r="W50" s="509"/>
    </row>
    <row r="51" spans="9:23" x14ac:dyDescent="0.25">
      <c r="I51" s="334" t="s">
        <v>1003</v>
      </c>
      <c r="J51" s="337" t="s">
        <v>2104</v>
      </c>
      <c r="K51" s="335">
        <v>0</v>
      </c>
      <c r="L51" s="335">
        <v>0</v>
      </c>
      <c r="M51" s="335">
        <v>24000</v>
      </c>
      <c r="N51" s="335">
        <f>M51-22800</f>
        <v>1200</v>
      </c>
      <c r="O51" s="335">
        <f t="shared" ref="O51:O54" si="15">IF(M51=0,0,M51-K51)-N51</f>
        <v>22800</v>
      </c>
      <c r="P51" s="335">
        <f t="shared" ref="P51:P54" si="16">IF(M51=0,K51,0)</f>
        <v>0</v>
      </c>
      <c r="Q51" s="405" t="s">
        <v>1327</v>
      </c>
      <c r="R51" s="348">
        <v>42138</v>
      </c>
      <c r="S51" s="348">
        <v>42141</v>
      </c>
      <c r="T51" s="353">
        <f t="shared" si="13"/>
        <v>53200</v>
      </c>
      <c r="V51" s="508"/>
      <c r="W51" s="509"/>
    </row>
    <row r="52" spans="9:23" x14ac:dyDescent="0.25">
      <c r="I52" s="187" t="s">
        <v>1006</v>
      </c>
      <c r="J52" s="336" t="s">
        <v>2228</v>
      </c>
      <c r="K52" s="333">
        <v>1700000</v>
      </c>
      <c r="L52" s="333">
        <v>34608</v>
      </c>
      <c r="M52" s="333">
        <v>0</v>
      </c>
      <c r="N52" s="333">
        <v>0</v>
      </c>
      <c r="O52" s="343">
        <f t="shared" si="15"/>
        <v>0</v>
      </c>
      <c r="P52" s="333">
        <f t="shared" si="16"/>
        <v>1700000</v>
      </c>
      <c r="Q52" s="403"/>
      <c r="R52" s="347">
        <v>42147</v>
      </c>
      <c r="S52" s="347"/>
      <c r="T52" s="344"/>
      <c r="V52" s="508"/>
      <c r="W52" s="509"/>
    </row>
    <row r="53" spans="9:23" x14ac:dyDescent="0.25">
      <c r="I53" s="187" t="s">
        <v>1004</v>
      </c>
      <c r="J53" s="336" t="s">
        <v>2232</v>
      </c>
      <c r="K53" s="333">
        <v>21000</v>
      </c>
      <c r="L53" s="333">
        <v>1716</v>
      </c>
      <c r="M53" s="333">
        <v>0</v>
      </c>
      <c r="N53" s="333">
        <v>0</v>
      </c>
      <c r="O53" s="343">
        <f t="shared" si="15"/>
        <v>0</v>
      </c>
      <c r="P53" s="333">
        <f t="shared" si="16"/>
        <v>21000</v>
      </c>
      <c r="Q53" s="403"/>
      <c r="R53" s="347">
        <v>42151</v>
      </c>
      <c r="S53" s="347"/>
      <c r="T53" s="344"/>
      <c r="W53" s="509"/>
    </row>
    <row r="54" spans="9:23" x14ac:dyDescent="0.25">
      <c r="I54" s="187" t="s">
        <v>1005</v>
      </c>
      <c r="J54" s="336" t="s">
        <v>2248</v>
      </c>
      <c r="K54" s="333">
        <v>28000</v>
      </c>
      <c r="L54" s="333">
        <v>516</v>
      </c>
      <c r="M54" s="333">
        <v>0</v>
      </c>
      <c r="N54" s="333">
        <v>0</v>
      </c>
      <c r="O54" s="343">
        <f t="shared" si="15"/>
        <v>0</v>
      </c>
      <c r="P54" s="333">
        <f t="shared" si="16"/>
        <v>28000</v>
      </c>
      <c r="Q54" s="403"/>
      <c r="R54" s="347">
        <v>42156</v>
      </c>
      <c r="S54" s="347"/>
      <c r="T54" s="344"/>
    </row>
    <row r="55" spans="9:23" x14ac:dyDescent="0.25">
      <c r="I55" s="187" t="s">
        <v>1005</v>
      </c>
      <c r="J55" s="336" t="s">
        <v>2249</v>
      </c>
      <c r="K55" s="333">
        <v>281000</v>
      </c>
      <c r="L55" s="333">
        <v>1980</v>
      </c>
      <c r="M55" s="333">
        <v>0</v>
      </c>
      <c r="N55" s="333">
        <v>0</v>
      </c>
      <c r="O55" s="343">
        <f t="shared" ref="O55:O61" si="17">IF(M55=0,0,M55-K55)-N55</f>
        <v>0</v>
      </c>
      <c r="P55" s="333">
        <f t="shared" ref="P55:P61" si="18">IF(M55=0,K55,0)</f>
        <v>281000</v>
      </c>
      <c r="Q55" s="403"/>
      <c r="R55" s="347">
        <v>42156</v>
      </c>
      <c r="S55" s="347"/>
      <c r="T55" s="344"/>
    </row>
    <row r="56" spans="9:23" x14ac:dyDescent="0.25">
      <c r="I56" s="187" t="s">
        <v>1005</v>
      </c>
      <c r="J56" s="336" t="s">
        <v>2250</v>
      </c>
      <c r="K56" s="333">
        <v>95000</v>
      </c>
      <c r="L56" s="333">
        <v>684</v>
      </c>
      <c r="M56" s="333">
        <v>0</v>
      </c>
      <c r="N56" s="333">
        <v>0</v>
      </c>
      <c r="O56" s="343">
        <f t="shared" si="17"/>
        <v>0</v>
      </c>
      <c r="P56" s="333">
        <f t="shared" si="18"/>
        <v>95000</v>
      </c>
      <c r="Q56" s="403"/>
      <c r="R56" s="347">
        <v>42156</v>
      </c>
      <c r="S56" s="347"/>
      <c r="T56" s="344"/>
    </row>
    <row r="57" spans="9:23" x14ac:dyDescent="0.25">
      <c r="I57" s="187" t="s">
        <v>1005</v>
      </c>
      <c r="J57" s="336" t="s">
        <v>2252</v>
      </c>
      <c r="K57" s="333">
        <v>104040</v>
      </c>
      <c r="L57" s="333">
        <v>996</v>
      </c>
      <c r="M57" s="333">
        <v>0</v>
      </c>
      <c r="N57" s="333">
        <v>0</v>
      </c>
      <c r="O57" s="343">
        <f t="shared" si="17"/>
        <v>0</v>
      </c>
      <c r="P57" s="333">
        <f t="shared" si="18"/>
        <v>104040</v>
      </c>
      <c r="Q57" s="403"/>
      <c r="R57" s="347">
        <v>42156</v>
      </c>
      <c r="S57" s="347"/>
      <c r="T57" s="344"/>
    </row>
    <row r="58" spans="9:23" x14ac:dyDescent="0.25">
      <c r="I58" s="187" t="s">
        <v>1005</v>
      </c>
      <c r="J58" s="336" t="s">
        <v>2251</v>
      </c>
      <c r="K58" s="333">
        <v>11000</v>
      </c>
      <c r="L58" s="333">
        <v>516</v>
      </c>
      <c r="M58" s="333">
        <v>0</v>
      </c>
      <c r="N58" s="333">
        <v>0</v>
      </c>
      <c r="O58" s="343">
        <f t="shared" si="17"/>
        <v>0</v>
      </c>
      <c r="P58" s="333">
        <f t="shared" si="18"/>
        <v>11000</v>
      </c>
      <c r="Q58" s="403"/>
      <c r="R58" s="347">
        <v>42156</v>
      </c>
      <c r="S58" s="347"/>
      <c r="T58" s="344"/>
    </row>
    <row r="59" spans="9:23" x14ac:dyDescent="0.25">
      <c r="I59" s="187" t="s">
        <v>1004</v>
      </c>
      <c r="J59" s="336" t="s">
        <v>2253</v>
      </c>
      <c r="K59" s="333">
        <v>22000</v>
      </c>
      <c r="L59" s="333">
        <v>1596</v>
      </c>
      <c r="M59" s="333">
        <v>0</v>
      </c>
      <c r="N59" s="333">
        <v>0</v>
      </c>
      <c r="O59" s="343">
        <f t="shared" si="17"/>
        <v>0</v>
      </c>
      <c r="P59" s="333">
        <f t="shared" si="18"/>
        <v>22000</v>
      </c>
      <c r="Q59" s="403"/>
      <c r="R59" s="347">
        <v>42156</v>
      </c>
      <c r="S59" s="347"/>
      <c r="T59" s="344"/>
    </row>
    <row r="60" spans="9:23" x14ac:dyDescent="0.25">
      <c r="I60" s="187" t="s">
        <v>1005</v>
      </c>
      <c r="J60" s="336" t="s">
        <v>2254</v>
      </c>
      <c r="K60" s="333">
        <v>694000</v>
      </c>
      <c r="L60" s="333">
        <v>8676</v>
      </c>
      <c r="M60" s="333">
        <v>0</v>
      </c>
      <c r="N60" s="333">
        <v>0</v>
      </c>
      <c r="O60" s="343">
        <f t="shared" si="17"/>
        <v>0</v>
      </c>
      <c r="P60" s="333">
        <f t="shared" si="18"/>
        <v>694000</v>
      </c>
      <c r="Q60" s="403"/>
      <c r="R60" s="347">
        <v>42156</v>
      </c>
      <c r="S60" s="347"/>
      <c r="T60" s="344"/>
    </row>
    <row r="61" spans="9:23" x14ac:dyDescent="0.25">
      <c r="I61" s="334" t="s">
        <v>1006</v>
      </c>
      <c r="J61" s="337" t="s">
        <v>2292</v>
      </c>
      <c r="K61" s="335">
        <v>306000</v>
      </c>
      <c r="L61" s="335">
        <v>12168</v>
      </c>
      <c r="M61" s="335">
        <v>153000</v>
      </c>
      <c r="N61" s="335">
        <f>M61-131504</f>
        <v>21496</v>
      </c>
      <c r="O61" s="335">
        <f t="shared" si="17"/>
        <v>-174496</v>
      </c>
      <c r="P61" s="335">
        <f t="shared" si="18"/>
        <v>0</v>
      </c>
      <c r="Q61" s="405">
        <f t="shared" ref="Q61:Q62" si="19">O61/K61</f>
        <v>-0.57024836601307194</v>
      </c>
      <c r="R61" s="348">
        <v>42175</v>
      </c>
      <c r="S61" s="348">
        <v>42183</v>
      </c>
      <c r="T61" s="353">
        <f t="shared" ref="T61:T62" si="20">O61/((S61-R61)/7)</f>
        <v>-152684</v>
      </c>
    </row>
    <row r="62" spans="9:23" x14ac:dyDescent="0.25">
      <c r="I62" s="334" t="s">
        <v>1006</v>
      </c>
      <c r="J62" s="337" t="s">
        <v>2291</v>
      </c>
      <c r="K62" s="335">
        <v>92820</v>
      </c>
      <c r="L62" s="335">
        <v>18372</v>
      </c>
      <c r="M62" s="335">
        <v>150000</v>
      </c>
      <c r="N62" s="335">
        <f>M62-128925</f>
        <v>21075</v>
      </c>
      <c r="O62" s="335">
        <f t="shared" ref="O62" si="21">IF(M62=0,0,M62-K62)-N62</f>
        <v>36105</v>
      </c>
      <c r="P62" s="335">
        <f t="shared" ref="P62" si="22">IF(M62=0,K62,0)</f>
        <v>0</v>
      </c>
      <c r="Q62" s="405">
        <f t="shared" si="19"/>
        <v>0.3889786683904331</v>
      </c>
      <c r="R62" s="348">
        <v>42175</v>
      </c>
      <c r="S62" s="348">
        <v>42183</v>
      </c>
      <c r="T62" s="353">
        <f t="shared" si="20"/>
        <v>31591.875</v>
      </c>
    </row>
  </sheetData>
  <autoFilter ref="I3:T9"/>
  <sortState ref="I5:T49">
    <sortCondition descending="1" ref="K5:K49"/>
  </sortState>
  <mergeCells count="5">
    <mergeCell ref="B2:G2"/>
    <mergeCell ref="I2:T2"/>
    <mergeCell ref="B3:G3"/>
    <mergeCell ref="B4:C4"/>
    <mergeCell ref="E4:F4"/>
  </mergeCells>
  <conditionalFormatting sqref="F12:F17 Q4:Q8 T4:T8 Q15 T15 O4:O21 Q23 O23 Q17:Q18 T17:T18 Q10:Q13 T10:T13">
    <cfRule type="cellIs" dxfId="1424" priority="239" operator="lessThan">
      <formula>0</formula>
    </cfRule>
    <cfRule type="cellIs" dxfId="1423" priority="240" operator="greaterThan">
      <formula>0</formula>
    </cfRule>
  </conditionalFormatting>
  <conditionalFormatting sqref="O24">
    <cfRule type="cellIs" dxfId="1422" priority="231" operator="lessThan">
      <formula>0</formula>
    </cfRule>
    <cfRule type="cellIs" dxfId="1421" priority="232" operator="greaterThan">
      <formula>0</formula>
    </cfRule>
  </conditionalFormatting>
  <conditionalFormatting sqref="O25">
    <cfRule type="cellIs" dxfId="1420" priority="229" operator="lessThan">
      <formula>0</formula>
    </cfRule>
    <cfRule type="cellIs" dxfId="1419" priority="230" operator="greaterThan">
      <formula>0</formula>
    </cfRule>
  </conditionalFormatting>
  <conditionalFormatting sqref="O26">
    <cfRule type="cellIs" dxfId="1418" priority="227" operator="lessThan">
      <formula>0</formula>
    </cfRule>
    <cfRule type="cellIs" dxfId="1417" priority="228" operator="greaterThan">
      <formula>0</formula>
    </cfRule>
  </conditionalFormatting>
  <conditionalFormatting sqref="O27">
    <cfRule type="cellIs" dxfId="1416" priority="225" operator="lessThan">
      <formula>0</formula>
    </cfRule>
    <cfRule type="cellIs" dxfId="1415" priority="226" operator="greaterThan">
      <formula>0</formula>
    </cfRule>
  </conditionalFormatting>
  <conditionalFormatting sqref="O28">
    <cfRule type="cellIs" dxfId="1414" priority="223" operator="lessThan">
      <formula>0</formula>
    </cfRule>
    <cfRule type="cellIs" dxfId="1413" priority="224" operator="greaterThan">
      <formula>0</formula>
    </cfRule>
  </conditionalFormatting>
  <conditionalFormatting sqref="O29">
    <cfRule type="cellIs" dxfId="1412" priority="221" operator="lessThan">
      <formula>0</formula>
    </cfRule>
    <cfRule type="cellIs" dxfId="1411" priority="222" operator="greaterThan">
      <formula>0</formula>
    </cfRule>
  </conditionalFormatting>
  <conditionalFormatting sqref="O30">
    <cfRule type="cellIs" dxfId="1410" priority="219" operator="lessThan">
      <formula>0</formula>
    </cfRule>
    <cfRule type="cellIs" dxfId="1409" priority="220" operator="greaterThan">
      <formula>0</formula>
    </cfRule>
  </conditionalFormatting>
  <conditionalFormatting sqref="O31">
    <cfRule type="cellIs" dxfId="1408" priority="217" operator="lessThan">
      <formula>0</formula>
    </cfRule>
    <cfRule type="cellIs" dxfId="1407" priority="218" operator="greaterThan">
      <formula>0</formula>
    </cfRule>
  </conditionalFormatting>
  <conditionalFormatting sqref="O32">
    <cfRule type="cellIs" dxfId="1406" priority="215" operator="lessThan">
      <formula>0</formula>
    </cfRule>
    <cfRule type="cellIs" dxfId="1405" priority="216" operator="greaterThan">
      <formula>0</formula>
    </cfRule>
  </conditionalFormatting>
  <conditionalFormatting sqref="O33">
    <cfRule type="cellIs" dxfId="1404" priority="209" operator="lessThan">
      <formula>0</formula>
    </cfRule>
    <cfRule type="cellIs" dxfId="1403" priority="210" operator="greaterThan">
      <formula>0</formula>
    </cfRule>
  </conditionalFormatting>
  <conditionalFormatting sqref="O34">
    <cfRule type="cellIs" dxfId="1402" priority="207" operator="lessThan">
      <formula>0</formula>
    </cfRule>
    <cfRule type="cellIs" dxfId="1401" priority="208" operator="greaterThan">
      <formula>0</formula>
    </cfRule>
  </conditionalFormatting>
  <conditionalFormatting sqref="O35 Q35">
    <cfRule type="cellIs" dxfId="1400" priority="205" operator="lessThan">
      <formula>0</formula>
    </cfRule>
    <cfRule type="cellIs" dxfId="1399" priority="206" operator="greaterThan">
      <formula>0</formula>
    </cfRule>
  </conditionalFormatting>
  <conditionalFormatting sqref="O36">
    <cfRule type="cellIs" dxfId="1398" priority="203" operator="lessThan">
      <formula>0</formula>
    </cfRule>
    <cfRule type="cellIs" dxfId="1397" priority="204" operator="greaterThan">
      <formula>0</formula>
    </cfRule>
  </conditionalFormatting>
  <conditionalFormatting sqref="O37">
    <cfRule type="cellIs" dxfId="1396" priority="201" operator="lessThan">
      <formula>0</formula>
    </cfRule>
    <cfRule type="cellIs" dxfId="1395" priority="202" operator="greaterThan">
      <formula>0</formula>
    </cfRule>
  </conditionalFormatting>
  <conditionalFormatting sqref="O38">
    <cfRule type="cellIs" dxfId="1394" priority="199" operator="lessThan">
      <formula>0</formula>
    </cfRule>
    <cfRule type="cellIs" dxfId="1393" priority="200" operator="greaterThan">
      <formula>0</formula>
    </cfRule>
  </conditionalFormatting>
  <conditionalFormatting sqref="O39">
    <cfRule type="cellIs" dxfId="1392" priority="197" operator="lessThan">
      <formula>0</formula>
    </cfRule>
    <cfRule type="cellIs" dxfId="1391" priority="198" operator="greaterThan">
      <formula>0</formula>
    </cfRule>
  </conditionalFormatting>
  <conditionalFormatting sqref="O40">
    <cfRule type="cellIs" dxfId="1390" priority="195" operator="lessThan">
      <formula>0</formula>
    </cfRule>
    <cfRule type="cellIs" dxfId="1389" priority="196" operator="greaterThan">
      <formula>0</formula>
    </cfRule>
  </conditionalFormatting>
  <conditionalFormatting sqref="O41">
    <cfRule type="cellIs" dxfId="1388" priority="193" operator="lessThan">
      <formula>0</formula>
    </cfRule>
    <cfRule type="cellIs" dxfId="1387" priority="194" operator="greaterThan">
      <formula>0</formula>
    </cfRule>
  </conditionalFormatting>
  <conditionalFormatting sqref="O42">
    <cfRule type="cellIs" dxfId="1386" priority="191" operator="lessThan">
      <formula>0</formula>
    </cfRule>
    <cfRule type="cellIs" dxfId="1385" priority="192" operator="greaterThan">
      <formula>0</formula>
    </cfRule>
  </conditionalFormatting>
  <conditionalFormatting sqref="O43">
    <cfRule type="cellIs" dxfId="1384" priority="189" operator="lessThan">
      <formula>0</formula>
    </cfRule>
    <cfRule type="cellIs" dxfId="1383" priority="190" operator="greaterThan">
      <formula>0</formula>
    </cfRule>
  </conditionalFormatting>
  <conditionalFormatting sqref="O44">
    <cfRule type="cellIs" dxfId="1382" priority="187" operator="lessThan">
      <formula>0</formula>
    </cfRule>
    <cfRule type="cellIs" dxfId="1381" priority="188" operator="greaterThan">
      <formula>0</formula>
    </cfRule>
  </conditionalFormatting>
  <conditionalFormatting sqref="O45">
    <cfRule type="cellIs" dxfId="1380" priority="185" operator="lessThan">
      <formula>0</formula>
    </cfRule>
    <cfRule type="cellIs" dxfId="1379" priority="186" operator="greaterThan">
      <formula>0</formula>
    </cfRule>
  </conditionalFormatting>
  <conditionalFormatting sqref="O46 Q46 T46">
    <cfRule type="cellIs" dxfId="1378" priority="183" operator="lessThan">
      <formula>0</formula>
    </cfRule>
    <cfRule type="cellIs" dxfId="1377" priority="184" operator="greaterThan">
      <formula>0</formula>
    </cfRule>
  </conditionalFormatting>
  <conditionalFormatting sqref="T31">
    <cfRule type="cellIs" dxfId="1376" priority="179" operator="lessThan">
      <formula>0</formula>
    </cfRule>
    <cfRule type="cellIs" dxfId="1375" priority="180" operator="greaterThan">
      <formula>0</formula>
    </cfRule>
  </conditionalFormatting>
  <conditionalFormatting sqref="O47 Q47 T47">
    <cfRule type="cellIs" dxfId="1374" priority="177" operator="lessThan">
      <formula>0</formula>
    </cfRule>
    <cfRule type="cellIs" dxfId="1373" priority="178" operator="greaterThan">
      <formula>0</formula>
    </cfRule>
  </conditionalFormatting>
  <conditionalFormatting sqref="Q36:Q38 Q40:Q45">
    <cfRule type="cellIs" dxfId="1372" priority="175" operator="lessThan">
      <formula>0</formula>
    </cfRule>
    <cfRule type="cellIs" dxfId="1371" priority="176" operator="greaterThan">
      <formula>0</formula>
    </cfRule>
  </conditionalFormatting>
  <conditionalFormatting sqref="T45">
    <cfRule type="cellIs" dxfId="1370" priority="173" operator="lessThan">
      <formula>0</formula>
    </cfRule>
    <cfRule type="cellIs" dxfId="1369" priority="174" operator="greaterThan">
      <formula>0</formula>
    </cfRule>
  </conditionalFormatting>
  <conditionalFormatting sqref="T38">
    <cfRule type="cellIs" dxfId="1368" priority="171" operator="lessThan">
      <formula>0</formula>
    </cfRule>
    <cfRule type="cellIs" dxfId="1367" priority="172" operator="greaterThan">
      <formula>0</formula>
    </cfRule>
  </conditionalFormatting>
  <conditionalFormatting sqref="T19">
    <cfRule type="cellIs" dxfId="1366" priority="167" operator="lessThan">
      <formula>0</formula>
    </cfRule>
    <cfRule type="cellIs" dxfId="1365" priority="168" operator="greaterThan">
      <formula>0</formula>
    </cfRule>
  </conditionalFormatting>
  <conditionalFormatting sqref="T20">
    <cfRule type="cellIs" dxfId="1364" priority="165" operator="lessThan">
      <formula>0</formula>
    </cfRule>
    <cfRule type="cellIs" dxfId="1363" priority="166" operator="greaterThan">
      <formula>0</formula>
    </cfRule>
  </conditionalFormatting>
  <conditionalFormatting sqref="T24">
    <cfRule type="cellIs" dxfId="1362" priority="161" operator="lessThan">
      <formula>0</formula>
    </cfRule>
    <cfRule type="cellIs" dxfId="1361" priority="162" operator="greaterThan">
      <formula>0</formula>
    </cfRule>
  </conditionalFormatting>
  <conditionalFormatting sqref="T25">
    <cfRule type="cellIs" dxfId="1360" priority="159" operator="lessThan">
      <formula>0</formula>
    </cfRule>
    <cfRule type="cellIs" dxfId="1359" priority="160" operator="greaterThan">
      <formula>0</formula>
    </cfRule>
  </conditionalFormatting>
  <conditionalFormatting sqref="T26">
    <cfRule type="cellIs" dxfId="1358" priority="157" operator="lessThan">
      <formula>0</formula>
    </cfRule>
    <cfRule type="cellIs" dxfId="1357" priority="158" operator="greaterThan">
      <formula>0</formula>
    </cfRule>
  </conditionalFormatting>
  <conditionalFormatting sqref="T28">
    <cfRule type="cellIs" dxfId="1356" priority="155" operator="lessThan">
      <formula>0</formula>
    </cfRule>
    <cfRule type="cellIs" dxfId="1355" priority="156" operator="greaterThan">
      <formula>0</formula>
    </cfRule>
  </conditionalFormatting>
  <conditionalFormatting sqref="T29">
    <cfRule type="cellIs" dxfId="1354" priority="153" operator="lessThan">
      <formula>0</formula>
    </cfRule>
    <cfRule type="cellIs" dxfId="1353" priority="154" operator="greaterThan">
      <formula>0</formula>
    </cfRule>
  </conditionalFormatting>
  <conditionalFormatting sqref="T30">
    <cfRule type="cellIs" dxfId="1352" priority="151" operator="lessThan">
      <formula>0</formula>
    </cfRule>
    <cfRule type="cellIs" dxfId="1351" priority="152" operator="greaterThan">
      <formula>0</formula>
    </cfRule>
  </conditionalFormatting>
  <conditionalFormatting sqref="T32">
    <cfRule type="cellIs" dxfId="1350" priority="149" operator="lessThan">
      <formula>0</formula>
    </cfRule>
    <cfRule type="cellIs" dxfId="1349" priority="150" operator="greaterThan">
      <formula>0</formula>
    </cfRule>
  </conditionalFormatting>
  <conditionalFormatting sqref="T33">
    <cfRule type="cellIs" dxfId="1348" priority="147" operator="lessThan">
      <formula>0</formula>
    </cfRule>
    <cfRule type="cellIs" dxfId="1347" priority="148" operator="greaterThan">
      <formula>0</formula>
    </cfRule>
  </conditionalFormatting>
  <conditionalFormatting sqref="T34">
    <cfRule type="cellIs" dxfId="1346" priority="145" operator="lessThan">
      <formula>0</formula>
    </cfRule>
    <cfRule type="cellIs" dxfId="1345" priority="146" operator="greaterThan">
      <formula>0</formula>
    </cfRule>
  </conditionalFormatting>
  <conditionalFormatting sqref="T36">
    <cfRule type="cellIs" dxfId="1344" priority="143" operator="lessThan">
      <formula>0</formula>
    </cfRule>
    <cfRule type="cellIs" dxfId="1343" priority="144" operator="greaterThan">
      <formula>0</formula>
    </cfRule>
  </conditionalFormatting>
  <conditionalFormatting sqref="T37">
    <cfRule type="cellIs" dxfId="1342" priority="141" operator="lessThan">
      <formula>0</formula>
    </cfRule>
    <cfRule type="cellIs" dxfId="1341" priority="142" operator="greaterThan">
      <formula>0</formula>
    </cfRule>
  </conditionalFormatting>
  <conditionalFormatting sqref="T39">
    <cfRule type="cellIs" dxfId="1340" priority="139" operator="lessThan">
      <formula>0</formula>
    </cfRule>
    <cfRule type="cellIs" dxfId="1339" priority="140" operator="greaterThan">
      <formula>0</formula>
    </cfRule>
  </conditionalFormatting>
  <conditionalFormatting sqref="T40">
    <cfRule type="cellIs" dxfId="1338" priority="137" operator="lessThan">
      <formula>0</formula>
    </cfRule>
    <cfRule type="cellIs" dxfId="1337" priority="138" operator="greaterThan">
      <formula>0</formula>
    </cfRule>
  </conditionalFormatting>
  <conditionalFormatting sqref="T41">
    <cfRule type="cellIs" dxfId="1336" priority="135" operator="lessThan">
      <formula>0</formula>
    </cfRule>
    <cfRule type="cellIs" dxfId="1335" priority="136" operator="greaterThan">
      <formula>0</formula>
    </cfRule>
  </conditionalFormatting>
  <conditionalFormatting sqref="T42">
    <cfRule type="cellIs" dxfId="1334" priority="133" operator="lessThan">
      <formula>0</formula>
    </cfRule>
    <cfRule type="cellIs" dxfId="1333" priority="134" operator="greaterThan">
      <formula>0</formula>
    </cfRule>
  </conditionalFormatting>
  <conditionalFormatting sqref="T43">
    <cfRule type="cellIs" dxfId="1332" priority="131" operator="lessThan">
      <formula>0</formula>
    </cfRule>
    <cfRule type="cellIs" dxfId="1331" priority="132" operator="greaterThan">
      <formula>0</formula>
    </cfRule>
  </conditionalFormatting>
  <conditionalFormatting sqref="T44">
    <cfRule type="cellIs" dxfId="1330" priority="129" operator="lessThan">
      <formula>0</formula>
    </cfRule>
    <cfRule type="cellIs" dxfId="1329" priority="130" operator="greaterThan">
      <formula>0</formula>
    </cfRule>
  </conditionalFormatting>
  <conditionalFormatting sqref="Q28:Q30 Q32:Q34">
    <cfRule type="cellIs" dxfId="1328" priority="127" operator="lessThan">
      <formula>0</formula>
    </cfRule>
    <cfRule type="cellIs" dxfId="1327" priority="128" operator="greaterThan">
      <formula>0</formula>
    </cfRule>
  </conditionalFormatting>
  <conditionalFormatting sqref="Q24:Q26">
    <cfRule type="cellIs" dxfId="1326" priority="125" operator="lessThan">
      <formula>0</formula>
    </cfRule>
    <cfRule type="cellIs" dxfId="1325" priority="126" operator="greaterThan">
      <formula>0</formula>
    </cfRule>
  </conditionalFormatting>
  <conditionalFormatting sqref="Q20">
    <cfRule type="cellIs" dxfId="1324" priority="123" operator="lessThan">
      <formula>0</formula>
    </cfRule>
    <cfRule type="cellIs" dxfId="1323" priority="124" operator="greaterThan">
      <formula>0</formula>
    </cfRule>
  </conditionalFormatting>
  <conditionalFormatting sqref="Q19">
    <cfRule type="cellIs" dxfId="1322" priority="121" operator="lessThan">
      <formula>0</formula>
    </cfRule>
    <cfRule type="cellIs" dxfId="1321" priority="122" operator="greaterThan">
      <formula>0</formula>
    </cfRule>
  </conditionalFormatting>
  <conditionalFormatting sqref="O48 Q48 T48">
    <cfRule type="cellIs" dxfId="1320" priority="119" operator="lessThan">
      <formula>0</formula>
    </cfRule>
    <cfRule type="cellIs" dxfId="1319" priority="120" operator="greaterThan">
      <formula>0</formula>
    </cfRule>
  </conditionalFormatting>
  <conditionalFormatting sqref="T23">
    <cfRule type="cellIs" dxfId="1318" priority="117" operator="lessThan">
      <formula>0</formula>
    </cfRule>
    <cfRule type="cellIs" dxfId="1317" priority="118" operator="greaterThan">
      <formula>0</formula>
    </cfRule>
  </conditionalFormatting>
  <conditionalFormatting sqref="T27">
    <cfRule type="cellIs" dxfId="1316" priority="115" operator="lessThan">
      <formula>0</formula>
    </cfRule>
    <cfRule type="cellIs" dxfId="1315" priority="116" operator="greaterThan">
      <formula>0</formula>
    </cfRule>
  </conditionalFormatting>
  <conditionalFormatting sqref="T35">
    <cfRule type="cellIs" dxfId="1314" priority="113" operator="lessThan">
      <formula>0</formula>
    </cfRule>
    <cfRule type="cellIs" dxfId="1313" priority="114" operator="greaterThan">
      <formula>0</formula>
    </cfRule>
  </conditionalFormatting>
  <conditionalFormatting sqref="O49 Q49 T49">
    <cfRule type="cellIs" dxfId="1312" priority="107" operator="lessThan">
      <formula>0</formula>
    </cfRule>
    <cfRule type="cellIs" dxfId="1311" priority="108" operator="greaterThan">
      <formula>0</formula>
    </cfRule>
  </conditionalFormatting>
  <conditionalFormatting sqref="O50 Q50 T50">
    <cfRule type="cellIs" dxfId="1310" priority="105" operator="lessThan">
      <formula>0</formula>
    </cfRule>
    <cfRule type="cellIs" dxfId="1309" priority="106" operator="greaterThan">
      <formula>0</formula>
    </cfRule>
  </conditionalFormatting>
  <conditionalFormatting sqref="Q27">
    <cfRule type="cellIs" dxfId="1308" priority="103" operator="lessThan">
      <formula>0</formula>
    </cfRule>
    <cfRule type="cellIs" dxfId="1307" priority="104" operator="greaterThan">
      <formula>0</formula>
    </cfRule>
  </conditionalFormatting>
  <conditionalFormatting sqref="Q31">
    <cfRule type="cellIs" dxfId="1306" priority="101" operator="lessThan">
      <formula>0</formula>
    </cfRule>
    <cfRule type="cellIs" dxfId="1305" priority="102" operator="greaterThan">
      <formula>0</formula>
    </cfRule>
  </conditionalFormatting>
  <conditionalFormatting sqref="Q39">
    <cfRule type="cellIs" dxfId="1304" priority="99" operator="lessThan">
      <formula>0</formula>
    </cfRule>
    <cfRule type="cellIs" dxfId="1303" priority="100" operator="greaterThan">
      <formula>0</formula>
    </cfRule>
  </conditionalFormatting>
  <conditionalFormatting sqref="Q14">
    <cfRule type="cellIs" dxfId="1302" priority="97" operator="lessThan">
      <formula>0</formula>
    </cfRule>
    <cfRule type="cellIs" dxfId="1301" priority="98" operator="greaterThan">
      <formula>0</formula>
    </cfRule>
  </conditionalFormatting>
  <conditionalFormatting sqref="T14">
    <cfRule type="cellIs" dxfId="1300" priority="95" operator="lessThan">
      <formula>0</formula>
    </cfRule>
    <cfRule type="cellIs" dxfId="1299" priority="96" operator="greaterThan">
      <formula>0</formula>
    </cfRule>
  </conditionalFormatting>
  <conditionalFormatting sqref="O22">
    <cfRule type="cellIs" dxfId="1298" priority="93" operator="lessThan">
      <formula>0</formula>
    </cfRule>
    <cfRule type="cellIs" dxfId="1297" priority="94" operator="greaterThan">
      <formula>0</formula>
    </cfRule>
  </conditionalFormatting>
  <conditionalFormatting sqref="T22">
    <cfRule type="cellIs" dxfId="1296" priority="91" operator="lessThan">
      <formula>0</formula>
    </cfRule>
    <cfRule type="cellIs" dxfId="1295" priority="92" operator="greaterThan">
      <formula>0</formula>
    </cfRule>
  </conditionalFormatting>
  <conditionalFormatting sqref="Q22">
    <cfRule type="cellIs" dxfId="1294" priority="89" operator="lessThan">
      <formula>0</formula>
    </cfRule>
    <cfRule type="cellIs" dxfId="1293" priority="90" operator="greaterThan">
      <formula>0</formula>
    </cfRule>
  </conditionalFormatting>
  <conditionalFormatting sqref="Q16">
    <cfRule type="cellIs" dxfId="1292" priority="87" operator="lessThan">
      <formula>0</formula>
    </cfRule>
    <cfRule type="cellIs" dxfId="1291" priority="88" operator="greaterThan">
      <formula>0</formula>
    </cfRule>
  </conditionalFormatting>
  <conditionalFormatting sqref="T16">
    <cfRule type="cellIs" dxfId="1290" priority="85" operator="lessThan">
      <formula>0</formula>
    </cfRule>
    <cfRule type="cellIs" dxfId="1289" priority="86" operator="greaterThan">
      <formula>0</formula>
    </cfRule>
  </conditionalFormatting>
  <conditionalFormatting sqref="O51">
    <cfRule type="cellIs" dxfId="1288" priority="83" operator="lessThan">
      <formula>0</formula>
    </cfRule>
    <cfRule type="cellIs" dxfId="1287" priority="84" operator="greaterThan">
      <formula>0</formula>
    </cfRule>
  </conditionalFormatting>
  <conditionalFormatting sqref="T51">
    <cfRule type="cellIs" dxfId="1286" priority="81" operator="lessThan">
      <formula>0</formula>
    </cfRule>
    <cfRule type="cellIs" dxfId="1285" priority="82" operator="greaterThan">
      <formula>0</formula>
    </cfRule>
  </conditionalFormatting>
  <conditionalFormatting sqref="Q51">
    <cfRule type="cellIs" dxfId="1284" priority="79" operator="lessThan">
      <formula>0</formula>
    </cfRule>
    <cfRule type="cellIs" dxfId="1283" priority="80" operator="greaterThan">
      <formula>0</formula>
    </cfRule>
  </conditionalFormatting>
  <conditionalFormatting sqref="Q9">
    <cfRule type="cellIs" dxfId="1282" priority="77" operator="lessThan">
      <formula>0</formula>
    </cfRule>
    <cfRule type="cellIs" dxfId="1281" priority="78" operator="greaterThan">
      <formula>0</formula>
    </cfRule>
  </conditionalFormatting>
  <conditionalFormatting sqref="T9">
    <cfRule type="cellIs" dxfId="1280" priority="75" operator="lessThan">
      <formula>0</formula>
    </cfRule>
    <cfRule type="cellIs" dxfId="1279" priority="76" operator="greaterThan">
      <formula>0</formula>
    </cfRule>
  </conditionalFormatting>
  <conditionalFormatting sqref="O52">
    <cfRule type="cellIs" dxfId="1278" priority="73" operator="lessThan">
      <formula>0</formula>
    </cfRule>
    <cfRule type="cellIs" dxfId="1277" priority="74" operator="greaterThan">
      <formula>0</formula>
    </cfRule>
  </conditionalFormatting>
  <conditionalFormatting sqref="T52">
    <cfRule type="cellIs" dxfId="1276" priority="71" operator="lessThan">
      <formula>0</formula>
    </cfRule>
    <cfRule type="cellIs" dxfId="1275" priority="72" operator="greaterThan">
      <formula>0</formula>
    </cfRule>
  </conditionalFormatting>
  <conditionalFormatting sqref="Q52">
    <cfRule type="cellIs" dxfId="1274" priority="69" operator="lessThan">
      <formula>0</formula>
    </cfRule>
    <cfRule type="cellIs" dxfId="1273" priority="70" operator="greaterThan">
      <formula>0</formula>
    </cfRule>
  </conditionalFormatting>
  <conditionalFormatting sqref="O53 Q53 T53">
    <cfRule type="cellIs" dxfId="1272" priority="67" operator="lessThan">
      <formula>0</formula>
    </cfRule>
    <cfRule type="cellIs" dxfId="1271" priority="68" operator="greaterThan">
      <formula>0</formula>
    </cfRule>
  </conditionalFormatting>
  <conditionalFormatting sqref="O54">
    <cfRule type="cellIs" dxfId="1270" priority="65" operator="lessThan">
      <formula>0</formula>
    </cfRule>
    <cfRule type="cellIs" dxfId="1269" priority="66" operator="greaterThan">
      <formula>0</formula>
    </cfRule>
  </conditionalFormatting>
  <conditionalFormatting sqref="T54">
    <cfRule type="cellIs" dxfId="1268" priority="63" operator="lessThan">
      <formula>0</formula>
    </cfRule>
    <cfRule type="cellIs" dxfId="1267" priority="64" operator="greaterThan">
      <formula>0</formula>
    </cfRule>
  </conditionalFormatting>
  <conditionalFormatting sqref="Q54">
    <cfRule type="cellIs" dxfId="1266" priority="61" operator="lessThan">
      <formula>0</formula>
    </cfRule>
    <cfRule type="cellIs" dxfId="1265" priority="62" operator="greaterThan">
      <formula>0</formula>
    </cfRule>
  </conditionalFormatting>
  <conditionalFormatting sqref="O55">
    <cfRule type="cellIs" dxfId="1264" priority="59" operator="lessThan">
      <formula>0</formula>
    </cfRule>
    <cfRule type="cellIs" dxfId="1263" priority="60" operator="greaterThan">
      <formula>0</formula>
    </cfRule>
  </conditionalFormatting>
  <conditionalFormatting sqref="T55">
    <cfRule type="cellIs" dxfId="1262" priority="57" operator="lessThan">
      <formula>0</formula>
    </cfRule>
    <cfRule type="cellIs" dxfId="1261" priority="58" operator="greaterThan">
      <formula>0</formula>
    </cfRule>
  </conditionalFormatting>
  <conditionalFormatting sqref="Q55">
    <cfRule type="cellIs" dxfId="1260" priority="55" operator="lessThan">
      <formula>0</formula>
    </cfRule>
    <cfRule type="cellIs" dxfId="1259" priority="56" operator="greaterThan">
      <formula>0</formula>
    </cfRule>
  </conditionalFormatting>
  <conditionalFormatting sqref="O56">
    <cfRule type="cellIs" dxfId="1258" priority="53" operator="lessThan">
      <formula>0</formula>
    </cfRule>
    <cfRule type="cellIs" dxfId="1257" priority="54" operator="greaterThan">
      <formula>0</formula>
    </cfRule>
  </conditionalFormatting>
  <conditionalFormatting sqref="T56">
    <cfRule type="cellIs" dxfId="1256" priority="51" operator="lessThan">
      <formula>0</formula>
    </cfRule>
    <cfRule type="cellIs" dxfId="1255" priority="52" operator="greaterThan">
      <formula>0</formula>
    </cfRule>
  </conditionalFormatting>
  <conditionalFormatting sqref="Q56">
    <cfRule type="cellIs" dxfId="1254" priority="49" operator="lessThan">
      <formula>0</formula>
    </cfRule>
    <cfRule type="cellIs" dxfId="1253" priority="50" operator="greaterThan">
      <formula>0</formula>
    </cfRule>
  </conditionalFormatting>
  <conditionalFormatting sqref="O57">
    <cfRule type="cellIs" dxfId="1252" priority="47" operator="lessThan">
      <formula>0</formula>
    </cfRule>
    <cfRule type="cellIs" dxfId="1251" priority="48" operator="greaterThan">
      <formula>0</formula>
    </cfRule>
  </conditionalFormatting>
  <conditionalFormatting sqref="T57">
    <cfRule type="cellIs" dxfId="1250" priority="45" operator="lessThan">
      <formula>0</formula>
    </cfRule>
    <cfRule type="cellIs" dxfId="1249" priority="46" operator="greaterThan">
      <formula>0</formula>
    </cfRule>
  </conditionalFormatting>
  <conditionalFormatting sqref="Q57">
    <cfRule type="cellIs" dxfId="1248" priority="43" operator="lessThan">
      <formula>0</formula>
    </cfRule>
    <cfRule type="cellIs" dxfId="1247" priority="44" operator="greaterThan">
      <formula>0</formula>
    </cfRule>
  </conditionalFormatting>
  <conditionalFormatting sqref="O58">
    <cfRule type="cellIs" dxfId="1246" priority="41" operator="lessThan">
      <formula>0</formula>
    </cfRule>
    <cfRule type="cellIs" dxfId="1245" priority="42" operator="greaterThan">
      <formula>0</formula>
    </cfRule>
  </conditionalFormatting>
  <conditionalFormatting sqref="T58">
    <cfRule type="cellIs" dxfId="1244" priority="39" operator="lessThan">
      <formula>0</formula>
    </cfRule>
    <cfRule type="cellIs" dxfId="1243" priority="40" operator="greaterThan">
      <formula>0</formula>
    </cfRule>
  </conditionalFormatting>
  <conditionalFormatting sqref="Q58">
    <cfRule type="cellIs" dxfId="1242" priority="37" operator="lessThan">
      <formula>0</formula>
    </cfRule>
    <cfRule type="cellIs" dxfId="1241" priority="38" operator="greaterThan">
      <formula>0</formula>
    </cfRule>
  </conditionalFormatting>
  <conditionalFormatting sqref="O59">
    <cfRule type="cellIs" dxfId="1240" priority="35" operator="lessThan">
      <formula>0</formula>
    </cfRule>
    <cfRule type="cellIs" dxfId="1239" priority="36" operator="greaterThan">
      <formula>0</formula>
    </cfRule>
  </conditionalFormatting>
  <conditionalFormatting sqref="T59">
    <cfRule type="cellIs" dxfId="1238" priority="33" operator="lessThan">
      <formula>0</formula>
    </cfRule>
    <cfRule type="cellIs" dxfId="1237" priority="34" operator="greaterThan">
      <formula>0</formula>
    </cfRule>
  </conditionalFormatting>
  <conditionalFormatting sqref="Q59">
    <cfRule type="cellIs" dxfId="1236" priority="31" operator="lessThan">
      <formula>0</formula>
    </cfRule>
    <cfRule type="cellIs" dxfId="1235" priority="32" operator="greaterThan">
      <formula>0</formula>
    </cfRule>
  </conditionalFormatting>
  <conditionalFormatting sqref="O60">
    <cfRule type="cellIs" dxfId="1234" priority="29" operator="lessThan">
      <formula>0</formula>
    </cfRule>
    <cfRule type="cellIs" dxfId="1233" priority="30" operator="greaterThan">
      <formula>0</formula>
    </cfRule>
  </conditionalFormatting>
  <conditionalFormatting sqref="T60">
    <cfRule type="cellIs" dxfId="1232" priority="27" operator="lessThan">
      <formula>0</formula>
    </cfRule>
    <cfRule type="cellIs" dxfId="1231" priority="28" operator="greaterThan">
      <formula>0</formula>
    </cfRule>
  </conditionalFormatting>
  <conditionalFormatting sqref="Q60">
    <cfRule type="cellIs" dxfId="1230" priority="25" operator="lessThan">
      <formula>0</formula>
    </cfRule>
    <cfRule type="cellIs" dxfId="1229" priority="26" operator="greaterThan">
      <formula>0</formula>
    </cfRule>
  </conditionalFormatting>
  <conditionalFormatting sqref="O61">
    <cfRule type="cellIs" dxfId="1228" priority="23" operator="lessThan">
      <formula>0</formula>
    </cfRule>
    <cfRule type="cellIs" dxfId="1227" priority="24" operator="greaterThan">
      <formula>0</formula>
    </cfRule>
  </conditionalFormatting>
  <conditionalFormatting sqref="O62">
    <cfRule type="cellIs" dxfId="1226" priority="17" operator="lessThan">
      <formula>0</formula>
    </cfRule>
    <cfRule type="cellIs" dxfId="1225" priority="18" operator="greaterThan">
      <formula>0</formula>
    </cfRule>
  </conditionalFormatting>
  <conditionalFormatting sqref="Q61">
    <cfRule type="cellIs" dxfId="1224" priority="11" operator="lessThan">
      <formula>0</formula>
    </cfRule>
    <cfRule type="cellIs" dxfId="1223" priority="12" operator="greaterThan">
      <formula>0</formula>
    </cfRule>
  </conditionalFormatting>
  <conditionalFormatting sqref="Q62">
    <cfRule type="cellIs" dxfId="1222" priority="9" operator="lessThan">
      <formula>0</formula>
    </cfRule>
    <cfRule type="cellIs" dxfId="1221" priority="10" operator="greaterThan">
      <formula>0</formula>
    </cfRule>
  </conditionalFormatting>
  <conditionalFormatting sqref="T61">
    <cfRule type="cellIs" dxfId="1220" priority="7" operator="lessThan">
      <formula>0</formula>
    </cfRule>
    <cfRule type="cellIs" dxfId="1219" priority="8" operator="greaterThan">
      <formula>0</formula>
    </cfRule>
  </conditionalFormatting>
  <conditionalFormatting sqref="T62">
    <cfRule type="cellIs" dxfId="1218" priority="5" operator="lessThan">
      <formula>0</formula>
    </cfRule>
    <cfRule type="cellIs" dxfId="1217" priority="6" operator="greaterThan">
      <formula>0</formula>
    </cfRule>
  </conditionalFormatting>
  <conditionalFormatting sqref="Q21">
    <cfRule type="cellIs" dxfId="1216" priority="3" operator="lessThan">
      <formula>0</formula>
    </cfRule>
    <cfRule type="cellIs" dxfId="1215" priority="4" operator="greaterThan">
      <formula>0</formula>
    </cfRule>
  </conditionalFormatting>
  <conditionalFormatting sqref="T21">
    <cfRule type="cellIs" dxfId="1214" priority="1" operator="lessThan">
      <formula>0</formula>
    </cfRule>
    <cfRule type="cellIs" dxfId="1213" priority="2" operator="greaterThan">
      <formula>0</formula>
    </cfRule>
  </conditionalFormatting>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V52"/>
  <sheetViews>
    <sheetView zoomScale="90" zoomScaleNormal="90" workbookViewId="0">
      <pane xSplit="3" ySplit="4" topLeftCell="K5" activePane="bottomRight" state="frozen"/>
      <selection pane="topRight" activeCell="D1" sqref="D1"/>
      <selection pane="bottomLeft" activeCell="A5" sqref="A5"/>
      <selection pane="bottomRight" activeCell="S8" sqref="S8"/>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8.28515625" style="616" bestFit="1" customWidth="1"/>
    <col min="6" max="6" width="18.28515625" bestFit="1" customWidth="1"/>
    <col min="7" max="7" width="18.28515625" style="97" bestFit="1" customWidth="1"/>
    <col min="8" max="9" width="18.28515625" bestFit="1" customWidth="1"/>
    <col min="10" max="19" width="18.28515625" style="5" bestFit="1" customWidth="1"/>
    <col min="20" max="20" width="11.42578125" style="5"/>
    <col min="21" max="21" width="15.42578125" style="5" bestFit="1" customWidth="1"/>
    <col min="22" max="22" width="9.7109375" style="5" bestFit="1" customWidth="1"/>
    <col min="23" max="16384" width="11.42578125" style="5"/>
  </cols>
  <sheetData>
    <row r="1" spans="1:22" ht="23.25" x14ac:dyDescent="0.35">
      <c r="A1" s="156" t="s">
        <v>13</v>
      </c>
      <c r="B1" s="255"/>
      <c r="C1" s="255"/>
    </row>
    <row r="2" spans="1:22" s="178" customFormat="1" ht="12.75" x14ac:dyDescent="0.2">
      <c r="B2" s="297"/>
      <c r="C2" s="297"/>
      <c r="D2" s="181">
        <f>EconomiaT46!S2+7</f>
        <v>42189</v>
      </c>
      <c r="E2" s="181">
        <f>D2+7</f>
        <v>42196</v>
      </c>
      <c r="F2" s="181">
        <f t="shared" ref="F2:S2" si="0">E2+7</f>
        <v>42203</v>
      </c>
      <c r="G2" s="181">
        <f t="shared" si="0"/>
        <v>42210</v>
      </c>
      <c r="H2" s="181">
        <f t="shared" si="0"/>
        <v>42217</v>
      </c>
      <c r="I2" s="181">
        <f t="shared" si="0"/>
        <v>42224</v>
      </c>
      <c r="J2" s="181">
        <f t="shared" si="0"/>
        <v>42231</v>
      </c>
      <c r="K2" s="181">
        <f t="shared" si="0"/>
        <v>42238</v>
      </c>
      <c r="L2" s="181">
        <f t="shared" si="0"/>
        <v>42245</v>
      </c>
      <c r="M2" s="181">
        <f t="shared" si="0"/>
        <v>42252</v>
      </c>
      <c r="N2" s="181">
        <f t="shared" si="0"/>
        <v>42259</v>
      </c>
      <c r="O2" s="181">
        <f t="shared" si="0"/>
        <v>42266</v>
      </c>
      <c r="P2" s="181">
        <f t="shared" si="0"/>
        <v>42273</v>
      </c>
      <c r="Q2" s="181">
        <f t="shared" si="0"/>
        <v>42280</v>
      </c>
      <c r="R2" s="181">
        <f t="shared" si="0"/>
        <v>42287</v>
      </c>
      <c r="S2" s="181">
        <f t="shared" si="0"/>
        <v>42294</v>
      </c>
      <c r="T2" s="181"/>
    </row>
    <row r="3" spans="1:22" s="6" customFormat="1" x14ac:dyDescent="0.25">
      <c r="A3" s="27"/>
      <c r="B3" s="27"/>
      <c r="C3" s="298" t="s">
        <v>2067</v>
      </c>
      <c r="D3" s="148" t="s">
        <v>16</v>
      </c>
      <c r="E3" s="148" t="s">
        <v>715</v>
      </c>
      <c r="F3" s="148" t="s">
        <v>702</v>
      </c>
      <c r="G3" s="148" t="s">
        <v>703</v>
      </c>
      <c r="H3" s="148" t="s">
        <v>704</v>
      </c>
      <c r="I3" s="148" t="s">
        <v>705</v>
      </c>
      <c r="J3" s="148" t="s">
        <v>21</v>
      </c>
      <c r="K3" s="148" t="s">
        <v>22</v>
      </c>
      <c r="L3" s="148" t="s">
        <v>23</v>
      </c>
      <c r="M3" s="148" t="s">
        <v>17</v>
      </c>
      <c r="N3" s="148" t="s">
        <v>18</v>
      </c>
      <c r="O3" s="148" t="s">
        <v>24</v>
      </c>
      <c r="P3" s="148" t="s">
        <v>25</v>
      </c>
      <c r="Q3" s="148" t="s">
        <v>26</v>
      </c>
      <c r="R3" s="148" t="s">
        <v>27</v>
      </c>
      <c r="S3" s="159" t="s">
        <v>28</v>
      </c>
    </row>
    <row r="4" spans="1:22" s="6" customFormat="1" x14ac:dyDescent="0.25">
      <c r="A4" s="27"/>
      <c r="B4" s="298"/>
      <c r="C4" s="298" t="s">
        <v>42</v>
      </c>
      <c r="D4" s="215">
        <v>2728</v>
      </c>
      <c r="E4" s="215">
        <v>2715</v>
      </c>
      <c r="F4" s="215">
        <v>2706</v>
      </c>
      <c r="G4" s="215">
        <v>2682</v>
      </c>
      <c r="H4" s="215">
        <f>G4+(G11/30)-24</f>
        <v>2658</v>
      </c>
      <c r="I4" s="215">
        <f t="shared" ref="I4:S4" si="1">H4+(H11/30)-24</f>
        <v>2634</v>
      </c>
      <c r="J4" s="215">
        <f t="shared" si="1"/>
        <v>2610</v>
      </c>
      <c r="K4" s="215">
        <f t="shared" si="1"/>
        <v>2586</v>
      </c>
      <c r="L4" s="215">
        <f t="shared" si="1"/>
        <v>2562</v>
      </c>
      <c r="M4" s="215">
        <f t="shared" si="1"/>
        <v>2538</v>
      </c>
      <c r="N4" s="215">
        <f t="shared" si="1"/>
        <v>2514</v>
      </c>
      <c r="O4" s="215">
        <v>2501</v>
      </c>
      <c r="P4" s="215">
        <f t="shared" si="1"/>
        <v>2477</v>
      </c>
      <c r="Q4" s="215">
        <f t="shared" si="1"/>
        <v>2453</v>
      </c>
      <c r="R4" s="215">
        <f t="shared" si="1"/>
        <v>2429</v>
      </c>
      <c r="S4" s="503">
        <f t="shared" si="1"/>
        <v>2405</v>
      </c>
    </row>
    <row r="5" spans="1:22" s="7" customFormat="1" ht="18.75" x14ac:dyDescent="0.3">
      <c r="A5" s="29" t="s">
        <v>12</v>
      </c>
      <c r="B5" s="29"/>
      <c r="C5" s="296">
        <f>EconomiaT46!S24</f>
        <v>1449120.2279143538</v>
      </c>
      <c r="D5" s="197">
        <f>C5</f>
        <v>1449120.2279143538</v>
      </c>
      <c r="E5" s="197">
        <f>D24</f>
        <v>1101684.2279143538</v>
      </c>
      <c r="F5" s="197">
        <f t="shared" ref="F5:S5" si="2">E24</f>
        <v>8677466.2279143557</v>
      </c>
      <c r="G5" s="197">
        <f t="shared" si="2"/>
        <v>8077793.2279143557</v>
      </c>
      <c r="H5" s="197">
        <f t="shared" si="2"/>
        <v>8207707.2279143557</v>
      </c>
      <c r="I5" s="197">
        <f t="shared" si="2"/>
        <v>8064298.2279143557</v>
      </c>
      <c r="J5" s="197">
        <f t="shared" si="2"/>
        <v>8070699.2279143557</v>
      </c>
      <c r="K5" s="197">
        <f t="shared" si="2"/>
        <v>7409616.2279143557</v>
      </c>
      <c r="L5" s="197">
        <f t="shared" si="2"/>
        <v>9568720.2279143557</v>
      </c>
      <c r="M5" s="197">
        <f t="shared" si="2"/>
        <v>6960739.2279143557</v>
      </c>
      <c r="N5" s="197">
        <f t="shared" si="2"/>
        <v>7998414.2279143557</v>
      </c>
      <c r="O5" s="197">
        <f t="shared" si="2"/>
        <v>7905203.2279143557</v>
      </c>
      <c r="P5" s="197">
        <f t="shared" si="2"/>
        <v>2948638.2279143557</v>
      </c>
      <c r="Q5" s="197">
        <f t="shared" si="2"/>
        <v>899483.2279143557</v>
      </c>
      <c r="R5" s="197">
        <f t="shared" si="2"/>
        <v>2336920.2279143557</v>
      </c>
      <c r="S5" s="198">
        <f t="shared" si="2"/>
        <v>4920109.2279143557</v>
      </c>
    </row>
    <row r="6" spans="1:22" x14ac:dyDescent="0.25">
      <c r="A6" s="8" t="s">
        <v>0</v>
      </c>
      <c r="B6" s="8" t="s">
        <v>0</v>
      </c>
      <c r="C6" s="199">
        <f>SUM(D6:S6)</f>
        <v>1973739</v>
      </c>
      <c r="D6" s="200">
        <v>40806</v>
      </c>
      <c r="E6" s="200">
        <f>470880+59227</f>
        <v>530107</v>
      </c>
      <c r="F6" s="200">
        <v>11877</v>
      </c>
      <c r="G6" s="200">
        <f>206448+35648</f>
        <v>242096</v>
      </c>
      <c r="H6" s="626">
        <v>5000</v>
      </c>
      <c r="I6" s="626">
        <v>185000</v>
      </c>
      <c r="J6" s="626">
        <v>5000</v>
      </c>
      <c r="K6" s="623">
        <v>185000</v>
      </c>
      <c r="L6" s="623">
        <v>19796</v>
      </c>
      <c r="M6" s="623">
        <f>219633+4890</f>
        <v>224523</v>
      </c>
      <c r="N6" s="623">
        <v>10238</v>
      </c>
      <c r="O6" s="623">
        <v>231554</v>
      </c>
      <c r="P6" s="623">
        <f>20000+8383-9500</f>
        <v>18883</v>
      </c>
      <c r="Q6" s="200">
        <v>225000</v>
      </c>
      <c r="R6" s="623">
        <v>11247</v>
      </c>
      <c r="S6" s="201">
        <v>27612</v>
      </c>
      <c r="U6" s="8" t="s">
        <v>0</v>
      </c>
      <c r="V6" s="219">
        <f>C6/$C$13</f>
        <v>3.8017688961198393E-2</v>
      </c>
    </row>
    <row r="7" spans="1:22" x14ac:dyDescent="0.25">
      <c r="A7" s="8" t="s">
        <v>2</v>
      </c>
      <c r="B7" s="8" t="s">
        <v>2</v>
      </c>
      <c r="C7" s="199">
        <f t="shared" ref="C7:C23" si="3">SUM(D7:S7)</f>
        <v>2292934</v>
      </c>
      <c r="D7" s="202">
        <v>114520</v>
      </c>
      <c r="E7" s="202">
        <v>132650</v>
      </c>
      <c r="F7" s="202">
        <v>143195</v>
      </c>
      <c r="G7" s="202">
        <v>148190</v>
      </c>
      <c r="H7" s="627">
        <f t="shared" ref="H7:J7" si="4">G7</f>
        <v>148190</v>
      </c>
      <c r="I7" s="627">
        <v>145000</v>
      </c>
      <c r="J7" s="627">
        <f t="shared" si="4"/>
        <v>145000</v>
      </c>
      <c r="K7" s="627">
        <f>J7+214</f>
        <v>145214</v>
      </c>
      <c r="L7" s="624">
        <v>149485</v>
      </c>
      <c r="M7" s="624">
        <v>148560</v>
      </c>
      <c r="N7" s="624">
        <v>147450</v>
      </c>
      <c r="O7" s="624">
        <v>146525</v>
      </c>
      <c r="P7" s="624">
        <v>145785</v>
      </c>
      <c r="Q7" s="202">
        <f>P7-300</f>
        <v>145485</v>
      </c>
      <c r="R7" s="624">
        <v>144120</v>
      </c>
      <c r="S7" s="542">
        <v>143565</v>
      </c>
      <c r="U7" s="8" t="s">
        <v>2</v>
      </c>
      <c r="V7" s="219">
        <f t="shared" ref="V7:V12" si="5">C7/$C$13</f>
        <v>4.4165946774399494E-2</v>
      </c>
    </row>
    <row r="8" spans="1:22" x14ac:dyDescent="0.25">
      <c r="A8" s="8" t="s">
        <v>3</v>
      </c>
      <c r="B8" s="8" t="s">
        <v>48</v>
      </c>
      <c r="C8" s="199">
        <f t="shared" si="3"/>
        <v>45674941</v>
      </c>
      <c r="D8" s="200">
        <v>0</v>
      </c>
      <c r="E8" s="200">
        <f>9082190-1425950+1422900+1806996+1116000+340898+3492150+1644240</f>
        <v>17479424</v>
      </c>
      <c r="F8" s="200">
        <v>3240382</v>
      </c>
      <c r="G8" s="200">
        <v>0</v>
      </c>
      <c r="H8" s="626">
        <v>0</v>
      </c>
      <c r="I8" s="626">
        <v>0</v>
      </c>
      <c r="J8" s="623">
        <f>841426+695950</f>
        <v>1537376</v>
      </c>
      <c r="K8" s="623">
        <f>449550+1080480+673875+785575+427405+730891+855603+728855+717680+531216</f>
        <v>6981130</v>
      </c>
      <c r="L8" s="623">
        <f>550678+629860+515833+989780+898499</f>
        <v>3584650</v>
      </c>
      <c r="M8" s="623">
        <v>948675</v>
      </c>
      <c r="N8" s="623">
        <v>0</v>
      </c>
      <c r="O8" s="623">
        <v>801652</v>
      </c>
      <c r="P8" s="623">
        <f>545501+894300</f>
        <v>1439801</v>
      </c>
      <c r="Q8" s="200">
        <f>765415+672300</f>
        <v>1437715</v>
      </c>
      <c r="R8" s="623">
        <v>4046894</v>
      </c>
      <c r="S8" s="201">
        <v>4177242</v>
      </c>
      <c r="U8" s="8" t="s">
        <v>48</v>
      </c>
      <c r="V8" s="219">
        <f t="shared" si="5"/>
        <v>0.87977979877739054</v>
      </c>
    </row>
    <row r="9" spans="1:22" x14ac:dyDescent="0.25">
      <c r="A9" s="8"/>
      <c r="B9" s="8" t="s">
        <v>820</v>
      </c>
      <c r="C9" s="199">
        <f t="shared" si="3"/>
        <v>1538145</v>
      </c>
      <c r="D9" s="200">
        <v>0</v>
      </c>
      <c r="E9" s="200">
        <f>1425000+950</f>
        <v>1425950</v>
      </c>
      <c r="F9" s="200">
        <v>0</v>
      </c>
      <c r="G9" s="200">
        <v>950</v>
      </c>
      <c r="H9" s="626">
        <v>0</v>
      </c>
      <c r="I9" s="626">
        <v>0</v>
      </c>
      <c r="J9" s="623">
        <v>0</v>
      </c>
      <c r="K9" s="623">
        <v>101745</v>
      </c>
      <c r="L9" s="626">
        <v>0</v>
      </c>
      <c r="M9" s="626">
        <v>0</v>
      </c>
      <c r="N9" s="626">
        <v>0</v>
      </c>
      <c r="O9" s="626">
        <v>0</v>
      </c>
      <c r="P9" s="623">
        <v>9500</v>
      </c>
      <c r="Q9" s="200"/>
      <c r="R9" s="626">
        <v>0</v>
      </c>
      <c r="S9" s="201">
        <v>0</v>
      </c>
      <c r="U9" s="8" t="s">
        <v>820</v>
      </c>
      <c r="V9" s="219">
        <f t="shared" si="5"/>
        <v>2.9627381425417699E-2</v>
      </c>
    </row>
    <row r="10" spans="1:22" x14ac:dyDescent="0.25">
      <c r="A10" s="8" t="s">
        <v>5</v>
      </c>
      <c r="B10" s="8" t="s">
        <v>5</v>
      </c>
      <c r="C10" s="199">
        <f t="shared" si="3"/>
        <v>363432</v>
      </c>
      <c r="D10" s="202">
        <v>265</v>
      </c>
      <c r="E10" s="202">
        <v>93973</v>
      </c>
      <c r="F10" s="202">
        <v>28318</v>
      </c>
      <c r="G10" s="202">
        <v>2705</v>
      </c>
      <c r="H10" s="627">
        <v>0</v>
      </c>
      <c r="I10" s="627">
        <v>0</v>
      </c>
      <c r="J10" s="627">
        <v>0</v>
      </c>
      <c r="K10" s="624">
        <v>0</v>
      </c>
      <c r="L10" s="624">
        <v>255</v>
      </c>
      <c r="M10" s="624">
        <v>0</v>
      </c>
      <c r="N10" s="624">
        <v>31275</v>
      </c>
      <c r="O10" s="624">
        <v>150</v>
      </c>
      <c r="P10" s="624">
        <v>15000</v>
      </c>
      <c r="Q10" s="202">
        <v>19250</v>
      </c>
      <c r="R10" s="624">
        <v>93241</v>
      </c>
      <c r="S10" s="201">
        <v>79000</v>
      </c>
      <c r="U10" s="8" t="s">
        <v>5</v>
      </c>
      <c r="V10" s="219">
        <f t="shared" si="5"/>
        <v>7.0003403360557074E-3</v>
      </c>
    </row>
    <row r="11" spans="1:22" x14ac:dyDescent="0.25">
      <c r="A11" s="728" t="s">
        <v>7</v>
      </c>
      <c r="B11" s="8" t="s">
        <v>42</v>
      </c>
      <c r="C11" s="199">
        <f t="shared" si="3"/>
        <v>73142</v>
      </c>
      <c r="D11" s="202">
        <v>0</v>
      </c>
      <c r="E11" s="202">
        <v>0</v>
      </c>
      <c r="F11" s="202">
        <v>0</v>
      </c>
      <c r="G11" s="202">
        <v>0</v>
      </c>
      <c r="H11" s="627">
        <v>0</v>
      </c>
      <c r="I11" s="627">
        <v>0</v>
      </c>
      <c r="J11" s="627">
        <v>0</v>
      </c>
      <c r="K11" s="624">
        <v>0</v>
      </c>
      <c r="L11" s="627">
        <v>0</v>
      </c>
      <c r="M11" s="627">
        <v>0</v>
      </c>
      <c r="N11" s="627">
        <v>0</v>
      </c>
      <c r="O11" s="627">
        <v>0</v>
      </c>
      <c r="P11" s="627">
        <v>0</v>
      </c>
      <c r="Q11" s="202"/>
      <c r="R11" s="627">
        <v>0</v>
      </c>
      <c r="S11" s="201">
        <v>73142</v>
      </c>
      <c r="U11" s="8" t="s">
        <v>19</v>
      </c>
      <c r="V11" s="219">
        <f t="shared" si="5"/>
        <v>1.4088437255381655E-3</v>
      </c>
    </row>
    <row r="12" spans="1:22" x14ac:dyDescent="0.25">
      <c r="A12" s="729"/>
      <c r="B12" s="8" t="s">
        <v>51</v>
      </c>
      <c r="C12" s="199">
        <f t="shared" si="3"/>
        <v>0</v>
      </c>
      <c r="D12" s="202">
        <v>0</v>
      </c>
      <c r="E12" s="202">
        <v>0</v>
      </c>
      <c r="F12" s="202">
        <v>0</v>
      </c>
      <c r="G12" s="202">
        <v>0</v>
      </c>
      <c r="H12" s="627">
        <v>0</v>
      </c>
      <c r="I12" s="627">
        <v>0</v>
      </c>
      <c r="J12" s="627">
        <v>0</v>
      </c>
      <c r="K12" s="624">
        <v>0</v>
      </c>
      <c r="L12" s="627">
        <v>0</v>
      </c>
      <c r="M12" s="627">
        <v>0</v>
      </c>
      <c r="N12" s="627">
        <v>0</v>
      </c>
      <c r="O12" s="627">
        <v>0</v>
      </c>
      <c r="P12" s="627">
        <v>0</v>
      </c>
      <c r="Q12" s="202"/>
      <c r="R12" s="627">
        <v>0</v>
      </c>
      <c r="S12" s="201">
        <v>0</v>
      </c>
      <c r="U12" s="8" t="s">
        <v>51</v>
      </c>
      <c r="V12" s="219">
        <f t="shared" si="5"/>
        <v>0</v>
      </c>
    </row>
    <row r="13" spans="1:22" s="21" customFormat="1" ht="18.75" x14ac:dyDescent="0.3">
      <c r="A13" s="19" t="s">
        <v>14</v>
      </c>
      <c r="B13" s="20"/>
      <c r="C13" s="203">
        <f t="shared" si="3"/>
        <v>51916333</v>
      </c>
      <c r="D13" s="204">
        <f t="shared" ref="D13:I13" si="6">SUM(D6:D12)</f>
        <v>155591</v>
      </c>
      <c r="E13" s="204">
        <f t="shared" si="6"/>
        <v>19662104</v>
      </c>
      <c r="F13" s="204">
        <f t="shared" si="6"/>
        <v>3423772</v>
      </c>
      <c r="G13" s="204">
        <f>G12+G11+G10+G9+G8+G7+G6</f>
        <v>393941</v>
      </c>
      <c r="H13" s="628">
        <f t="shared" si="6"/>
        <v>153190</v>
      </c>
      <c r="I13" s="628">
        <f t="shared" si="6"/>
        <v>330000</v>
      </c>
      <c r="J13" s="628">
        <f t="shared" ref="J13:S13" si="7">SUM(J6:J12)</f>
        <v>1687376</v>
      </c>
      <c r="K13" s="628">
        <f t="shared" si="7"/>
        <v>7413089</v>
      </c>
      <c r="L13" s="204">
        <f t="shared" si="7"/>
        <v>3754186</v>
      </c>
      <c r="M13" s="204">
        <f t="shared" si="7"/>
        <v>1321758</v>
      </c>
      <c r="N13" s="204">
        <f t="shared" si="7"/>
        <v>188963</v>
      </c>
      <c r="O13" s="204">
        <f t="shared" si="7"/>
        <v>1179881</v>
      </c>
      <c r="P13" s="204">
        <f t="shared" si="7"/>
        <v>1628969</v>
      </c>
      <c r="Q13" s="204">
        <f t="shared" si="7"/>
        <v>1827450</v>
      </c>
      <c r="R13" s="204">
        <f t="shared" si="7"/>
        <v>4295502</v>
      </c>
      <c r="S13" s="205">
        <f t="shared" si="7"/>
        <v>4500561</v>
      </c>
      <c r="V13" s="222">
        <f>SUM(V6:V12)</f>
        <v>0.99999999999999989</v>
      </c>
    </row>
    <row r="14" spans="1:22" ht="18.75" x14ac:dyDescent="0.3">
      <c r="A14" s="22" t="s">
        <v>1</v>
      </c>
      <c r="B14" s="23" t="str">
        <f>A14</f>
        <v>Sueldos</v>
      </c>
      <c r="C14" s="206">
        <f t="shared" si="3"/>
        <v>3394833</v>
      </c>
      <c r="D14" s="207">
        <v>357428</v>
      </c>
      <c r="E14" s="207">
        <v>355244</v>
      </c>
      <c r="F14" s="207">
        <v>169412</v>
      </c>
      <c r="G14" s="207">
        <v>142428</v>
      </c>
      <c r="H14" s="629">
        <v>160000</v>
      </c>
      <c r="I14" s="629">
        <f t="shared" ref="I14:J14" si="8">H14</f>
        <v>160000</v>
      </c>
      <c r="J14" s="629">
        <f t="shared" si="8"/>
        <v>160000</v>
      </c>
      <c r="K14" s="629">
        <f>J14</f>
        <v>160000</v>
      </c>
      <c r="L14" s="625">
        <f>K14</f>
        <v>160000</v>
      </c>
      <c r="M14" s="625">
        <v>158484</v>
      </c>
      <c r="N14" s="625">
        <v>158575</v>
      </c>
      <c r="O14" s="625">
        <v>158574</v>
      </c>
      <c r="P14" s="625">
        <v>243414</v>
      </c>
      <c r="Q14" s="207">
        <f t="shared" ref="Q14:Q22" si="9">P14</f>
        <v>243414</v>
      </c>
      <c r="R14" s="625">
        <v>296142</v>
      </c>
      <c r="S14" s="542">
        <v>311718</v>
      </c>
      <c r="U14" s="744">
        <f>C13</f>
        <v>51916333</v>
      </c>
      <c r="V14" s="745"/>
    </row>
    <row r="15" spans="1:22" x14ac:dyDescent="0.25">
      <c r="A15" s="22" t="s">
        <v>29</v>
      </c>
      <c r="B15" s="23" t="str">
        <f>A15</f>
        <v xml:space="preserve">Mantenimiento </v>
      </c>
      <c r="C15" s="206">
        <f t="shared" si="3"/>
        <v>665584</v>
      </c>
      <c r="D15" s="207">
        <f>EconomiaT46!S15</f>
        <v>41599</v>
      </c>
      <c r="E15" s="207">
        <f>D15</f>
        <v>41599</v>
      </c>
      <c r="F15" s="207">
        <f t="shared" ref="F15:P15" si="10">E15</f>
        <v>41599</v>
      </c>
      <c r="G15" s="207">
        <f t="shared" si="10"/>
        <v>41599</v>
      </c>
      <c r="H15" s="629">
        <f t="shared" si="10"/>
        <v>41599</v>
      </c>
      <c r="I15" s="625">
        <f t="shared" si="10"/>
        <v>41599</v>
      </c>
      <c r="J15" s="625">
        <f t="shared" si="10"/>
        <v>41599</v>
      </c>
      <c r="K15" s="625">
        <f t="shared" si="10"/>
        <v>41599</v>
      </c>
      <c r="L15" s="625">
        <f t="shared" si="10"/>
        <v>41599</v>
      </c>
      <c r="M15" s="625">
        <f t="shared" si="10"/>
        <v>41599</v>
      </c>
      <c r="N15" s="625">
        <f t="shared" si="10"/>
        <v>41599</v>
      </c>
      <c r="O15" s="625">
        <f t="shared" si="10"/>
        <v>41599</v>
      </c>
      <c r="P15" s="625">
        <f t="shared" si="10"/>
        <v>41599</v>
      </c>
      <c r="Q15" s="207">
        <f t="shared" si="9"/>
        <v>41599</v>
      </c>
      <c r="R15" s="625">
        <f t="shared" ref="R15:R22" si="11">Q15</f>
        <v>41599</v>
      </c>
      <c r="S15" s="201">
        <f t="shared" ref="S15:S22" si="12">R15</f>
        <v>41599</v>
      </c>
    </row>
    <row r="16" spans="1:22" x14ac:dyDescent="0.25">
      <c r="A16" s="22" t="s">
        <v>4</v>
      </c>
      <c r="B16" s="23" t="s">
        <v>30</v>
      </c>
      <c r="C16" s="206">
        <f t="shared" si="3"/>
        <v>0</v>
      </c>
      <c r="D16" s="207">
        <v>0</v>
      </c>
      <c r="E16" s="207">
        <f t="shared" ref="E16:P22" si="13">D16</f>
        <v>0</v>
      </c>
      <c r="F16" s="207">
        <f t="shared" si="13"/>
        <v>0</v>
      </c>
      <c r="G16" s="207">
        <f t="shared" si="13"/>
        <v>0</v>
      </c>
      <c r="H16" s="629">
        <f t="shared" si="13"/>
        <v>0</v>
      </c>
      <c r="I16" s="625">
        <f t="shared" si="13"/>
        <v>0</v>
      </c>
      <c r="J16" s="625">
        <f t="shared" si="13"/>
        <v>0</v>
      </c>
      <c r="K16" s="625">
        <f t="shared" si="13"/>
        <v>0</v>
      </c>
      <c r="L16" s="625">
        <f t="shared" si="13"/>
        <v>0</v>
      </c>
      <c r="M16" s="625">
        <f t="shared" si="13"/>
        <v>0</v>
      </c>
      <c r="N16" s="625">
        <f t="shared" si="13"/>
        <v>0</v>
      </c>
      <c r="O16" s="625">
        <f t="shared" si="13"/>
        <v>0</v>
      </c>
      <c r="P16" s="625">
        <f t="shared" si="13"/>
        <v>0</v>
      </c>
      <c r="Q16" s="207">
        <f t="shared" si="9"/>
        <v>0</v>
      </c>
      <c r="R16" s="625">
        <f t="shared" si="11"/>
        <v>0</v>
      </c>
      <c r="S16" s="201">
        <f t="shared" si="12"/>
        <v>0</v>
      </c>
    </row>
    <row r="17" spans="1:22" x14ac:dyDescent="0.25">
      <c r="A17" s="22" t="s">
        <v>6</v>
      </c>
      <c r="B17" s="23" t="str">
        <f>A17</f>
        <v>Empleados</v>
      </c>
      <c r="C17" s="206">
        <f t="shared" si="3"/>
        <v>978000</v>
      </c>
      <c r="D17" s="207">
        <v>60000</v>
      </c>
      <c r="E17" s="207">
        <f t="shared" si="13"/>
        <v>60000</v>
      </c>
      <c r="F17" s="207">
        <f t="shared" si="13"/>
        <v>60000</v>
      </c>
      <c r="G17" s="207">
        <f t="shared" si="13"/>
        <v>60000</v>
      </c>
      <c r="H17" s="629">
        <f t="shared" si="13"/>
        <v>60000</v>
      </c>
      <c r="I17" s="625">
        <v>78000</v>
      </c>
      <c r="J17" s="625">
        <v>60000</v>
      </c>
      <c r="K17" s="625">
        <f t="shared" si="13"/>
        <v>60000</v>
      </c>
      <c r="L17" s="625">
        <f t="shared" si="13"/>
        <v>60000</v>
      </c>
      <c r="M17" s="625">
        <f t="shared" si="13"/>
        <v>60000</v>
      </c>
      <c r="N17" s="625">
        <f t="shared" si="13"/>
        <v>60000</v>
      </c>
      <c r="O17" s="625">
        <f t="shared" si="13"/>
        <v>60000</v>
      </c>
      <c r="P17" s="625">
        <f t="shared" si="13"/>
        <v>60000</v>
      </c>
      <c r="Q17" s="207">
        <f t="shared" si="9"/>
        <v>60000</v>
      </c>
      <c r="R17" s="625">
        <f t="shared" si="11"/>
        <v>60000</v>
      </c>
      <c r="S17" s="201">
        <f t="shared" si="12"/>
        <v>60000</v>
      </c>
    </row>
    <row r="18" spans="1:22" x14ac:dyDescent="0.25">
      <c r="A18" s="22" t="s">
        <v>8</v>
      </c>
      <c r="B18" s="23" t="str">
        <f>A18</f>
        <v>Juveniles</v>
      </c>
      <c r="C18" s="206">
        <f t="shared" si="3"/>
        <v>320000</v>
      </c>
      <c r="D18" s="207">
        <v>20000</v>
      </c>
      <c r="E18" s="207">
        <f t="shared" si="13"/>
        <v>20000</v>
      </c>
      <c r="F18" s="207">
        <f t="shared" si="13"/>
        <v>20000</v>
      </c>
      <c r="G18" s="207">
        <f t="shared" si="13"/>
        <v>20000</v>
      </c>
      <c r="H18" s="629">
        <f t="shared" si="13"/>
        <v>20000</v>
      </c>
      <c r="I18" s="625">
        <f t="shared" si="13"/>
        <v>20000</v>
      </c>
      <c r="J18" s="625">
        <f t="shared" si="13"/>
        <v>20000</v>
      </c>
      <c r="K18" s="625">
        <f t="shared" si="13"/>
        <v>20000</v>
      </c>
      <c r="L18" s="625">
        <f t="shared" si="13"/>
        <v>20000</v>
      </c>
      <c r="M18" s="625">
        <f t="shared" si="13"/>
        <v>20000</v>
      </c>
      <c r="N18" s="625">
        <f t="shared" si="13"/>
        <v>20000</v>
      </c>
      <c r="O18" s="625">
        <f t="shared" si="13"/>
        <v>20000</v>
      </c>
      <c r="P18" s="625">
        <f t="shared" si="13"/>
        <v>20000</v>
      </c>
      <c r="Q18" s="207">
        <f t="shared" si="9"/>
        <v>20000</v>
      </c>
      <c r="R18" s="625">
        <f t="shared" si="11"/>
        <v>20000</v>
      </c>
      <c r="S18" s="201">
        <f t="shared" si="12"/>
        <v>20000</v>
      </c>
    </row>
    <row r="19" spans="1:22" x14ac:dyDescent="0.25">
      <c r="A19" s="22" t="s">
        <v>9</v>
      </c>
      <c r="B19" s="23" t="s">
        <v>50</v>
      </c>
      <c r="C19" s="206">
        <f t="shared" si="3"/>
        <v>45869449</v>
      </c>
      <c r="D19" s="207">
        <v>0</v>
      </c>
      <c r="E19" s="207">
        <f>5093849+4265640+19530+375000+2748+239700+310+918000+5330+673000+3372</f>
        <v>11596479</v>
      </c>
      <c r="F19" s="207">
        <v>3729434</v>
      </c>
      <c r="G19" s="207">
        <v>0</v>
      </c>
      <c r="H19" s="629">
        <f t="shared" si="13"/>
        <v>0</v>
      </c>
      <c r="I19" s="629">
        <f t="shared" si="13"/>
        <v>0</v>
      </c>
      <c r="J19" s="625">
        <f>665000+4548+704000+2148+663000+4164</f>
        <v>2042860</v>
      </c>
      <c r="K19" s="625">
        <f>500000+2610+521000+1500+868000+6516+921000+4500+600000+1932+850000+5292+663000+3036</f>
        <v>4948386</v>
      </c>
      <c r="L19" s="625">
        <f>800000+3732+937000+2028+872000+5820+590000+1548+663000+4380+806000+2964+862000+4164+500000+1932</f>
        <v>6056568</v>
      </c>
      <c r="M19" s="625">
        <v>0</v>
      </c>
      <c r="N19" s="625">
        <f t="shared" si="13"/>
        <v>0</v>
      </c>
      <c r="O19" s="625">
        <f>3653540+2167501+32232</f>
        <v>5853273</v>
      </c>
      <c r="P19" s="625">
        <f>719263+2540000+28848</f>
        <v>3288111</v>
      </c>
      <c r="Q19" s="207">
        <v>0</v>
      </c>
      <c r="R19" s="625">
        <v>1267572</v>
      </c>
      <c r="S19" s="201">
        <f>1031464+2862000+21810+653000+18192+2475000+25300</f>
        <v>7086766</v>
      </c>
    </row>
    <row r="20" spans="1:22" x14ac:dyDescent="0.25">
      <c r="A20" s="763" t="s">
        <v>7</v>
      </c>
      <c r="B20" s="23" t="s">
        <v>11</v>
      </c>
      <c r="C20" s="206">
        <f t="shared" si="3"/>
        <v>0</v>
      </c>
      <c r="D20" s="207">
        <v>0</v>
      </c>
      <c r="E20" s="207">
        <f t="shared" si="13"/>
        <v>0</v>
      </c>
      <c r="F20" s="207">
        <f t="shared" si="13"/>
        <v>0</v>
      </c>
      <c r="G20" s="207">
        <f t="shared" si="13"/>
        <v>0</v>
      </c>
      <c r="H20" s="629">
        <f t="shared" si="13"/>
        <v>0</v>
      </c>
      <c r="I20" s="629">
        <f t="shared" si="13"/>
        <v>0</v>
      </c>
      <c r="J20" s="629">
        <f t="shared" si="13"/>
        <v>0</v>
      </c>
      <c r="K20" s="629">
        <f t="shared" si="13"/>
        <v>0</v>
      </c>
      <c r="L20" s="629">
        <f t="shared" si="13"/>
        <v>0</v>
      </c>
      <c r="M20" s="629">
        <f t="shared" si="13"/>
        <v>0</v>
      </c>
      <c r="N20" s="629">
        <f t="shared" si="13"/>
        <v>0</v>
      </c>
      <c r="O20" s="629">
        <f t="shared" si="13"/>
        <v>0</v>
      </c>
      <c r="P20" s="629">
        <f t="shared" si="13"/>
        <v>0</v>
      </c>
      <c r="Q20" s="207">
        <f t="shared" si="9"/>
        <v>0</v>
      </c>
      <c r="R20" s="629">
        <f t="shared" si="11"/>
        <v>0</v>
      </c>
      <c r="S20" s="201">
        <f t="shared" si="12"/>
        <v>0</v>
      </c>
    </row>
    <row r="21" spans="1:22" x14ac:dyDescent="0.25">
      <c r="A21" s="764"/>
      <c r="B21" s="23" t="s">
        <v>818</v>
      </c>
      <c r="C21" s="206">
        <f t="shared" si="3"/>
        <v>258000</v>
      </c>
      <c r="D21" s="207">
        <v>24000</v>
      </c>
      <c r="E21" s="207">
        <v>13000</v>
      </c>
      <c r="F21" s="207">
        <v>3000</v>
      </c>
      <c r="G21" s="207">
        <v>0</v>
      </c>
      <c r="H21" s="629">
        <v>15000</v>
      </c>
      <c r="I21" s="629">
        <v>24000</v>
      </c>
      <c r="J21" s="629">
        <v>24000</v>
      </c>
      <c r="K21" s="629">
        <v>24000</v>
      </c>
      <c r="L21" s="625">
        <v>24000</v>
      </c>
      <c r="M21" s="625">
        <v>4000</v>
      </c>
      <c r="N21" s="625">
        <v>2000</v>
      </c>
      <c r="O21" s="625">
        <v>3000</v>
      </c>
      <c r="P21" s="625">
        <v>25000</v>
      </c>
      <c r="Q21" s="207">
        <v>25000</v>
      </c>
      <c r="R21" s="625">
        <v>27000</v>
      </c>
      <c r="S21" s="542">
        <v>21000</v>
      </c>
    </row>
    <row r="22" spans="1:22" x14ac:dyDescent="0.25">
      <c r="A22" s="22" t="s">
        <v>10</v>
      </c>
      <c r="B22" s="23" t="str">
        <f>A22</f>
        <v>Intereses</v>
      </c>
      <c r="C22" s="206">
        <f t="shared" si="3"/>
        <v>0</v>
      </c>
      <c r="D22" s="207">
        <v>0</v>
      </c>
      <c r="E22" s="207">
        <f t="shared" si="13"/>
        <v>0</v>
      </c>
      <c r="F22" s="207">
        <f t="shared" si="13"/>
        <v>0</v>
      </c>
      <c r="G22" s="207">
        <f t="shared" si="13"/>
        <v>0</v>
      </c>
      <c r="H22" s="629">
        <f t="shared" si="13"/>
        <v>0</v>
      </c>
      <c r="I22" s="629">
        <f t="shared" si="13"/>
        <v>0</v>
      </c>
      <c r="J22" s="629">
        <f t="shared" si="13"/>
        <v>0</v>
      </c>
      <c r="K22" s="629">
        <f t="shared" si="13"/>
        <v>0</v>
      </c>
      <c r="L22" s="625">
        <f t="shared" si="13"/>
        <v>0</v>
      </c>
      <c r="M22" s="625">
        <f t="shared" si="13"/>
        <v>0</v>
      </c>
      <c r="N22" s="625">
        <f t="shared" si="13"/>
        <v>0</v>
      </c>
      <c r="O22" s="625">
        <f t="shared" si="13"/>
        <v>0</v>
      </c>
      <c r="P22" s="625">
        <f t="shared" si="13"/>
        <v>0</v>
      </c>
      <c r="Q22" s="207">
        <f t="shared" si="9"/>
        <v>0</v>
      </c>
      <c r="R22" s="625">
        <f t="shared" si="11"/>
        <v>0</v>
      </c>
      <c r="S22" s="201">
        <f t="shared" si="12"/>
        <v>0</v>
      </c>
    </row>
    <row r="23" spans="1:22" s="31" customFormat="1" ht="18.75" x14ac:dyDescent="0.3">
      <c r="A23" s="25" t="s">
        <v>15</v>
      </c>
      <c r="B23" s="26"/>
      <c r="C23" s="209">
        <f t="shared" si="3"/>
        <v>51485866</v>
      </c>
      <c r="D23" s="210">
        <f t="shared" ref="D23:S23" si="14">SUM(D14:D22)</f>
        <v>503027</v>
      </c>
      <c r="E23" s="210">
        <f t="shared" si="14"/>
        <v>12086322</v>
      </c>
      <c r="F23" s="210">
        <f t="shared" si="14"/>
        <v>4023445</v>
      </c>
      <c r="G23" s="210">
        <f t="shared" si="14"/>
        <v>264027</v>
      </c>
      <c r="H23" s="630">
        <f t="shared" si="14"/>
        <v>296599</v>
      </c>
      <c r="I23" s="630">
        <f t="shared" si="14"/>
        <v>323599</v>
      </c>
      <c r="J23" s="630">
        <f t="shared" si="14"/>
        <v>2348459</v>
      </c>
      <c r="K23" s="630">
        <f t="shared" si="14"/>
        <v>5253985</v>
      </c>
      <c r="L23" s="210">
        <f t="shared" si="14"/>
        <v>6362167</v>
      </c>
      <c r="M23" s="210">
        <f t="shared" si="14"/>
        <v>284083</v>
      </c>
      <c r="N23" s="210">
        <f t="shared" si="14"/>
        <v>282174</v>
      </c>
      <c r="O23" s="210">
        <f t="shared" si="14"/>
        <v>6136446</v>
      </c>
      <c r="P23" s="210">
        <f t="shared" si="14"/>
        <v>3678124</v>
      </c>
      <c r="Q23" s="210">
        <f t="shared" si="14"/>
        <v>390013</v>
      </c>
      <c r="R23" s="210">
        <f t="shared" si="14"/>
        <v>1712313</v>
      </c>
      <c r="S23" s="211">
        <f t="shared" si="14"/>
        <v>7541083</v>
      </c>
      <c r="U23" s="23" t="s">
        <v>1</v>
      </c>
      <c r="V23" s="220">
        <f>C14/$C$23</f>
        <v>6.5937183614625416E-2</v>
      </c>
    </row>
    <row r="24" spans="1:22" s="7" customFormat="1" ht="18.75" x14ac:dyDescent="0.3">
      <c r="A24" s="9" t="s">
        <v>20</v>
      </c>
      <c r="B24" s="9"/>
      <c r="C24" s="197">
        <f>C5+C13-C23</f>
        <v>1879587.2279143557</v>
      </c>
      <c r="D24" s="197">
        <f t="shared" ref="D24:S24" si="15">D5+D13-D23</f>
        <v>1101684.2279143538</v>
      </c>
      <c r="E24" s="197">
        <f t="shared" si="15"/>
        <v>8677466.2279143557</v>
      </c>
      <c r="F24" s="197">
        <f t="shared" si="15"/>
        <v>8077793.2279143557</v>
      </c>
      <c r="G24" s="197">
        <f t="shared" si="15"/>
        <v>8207707.2279143557</v>
      </c>
      <c r="H24" s="631">
        <f t="shared" si="15"/>
        <v>8064298.2279143557</v>
      </c>
      <c r="I24" s="631">
        <f t="shared" si="15"/>
        <v>8070699.2279143557</v>
      </c>
      <c r="J24" s="631">
        <f t="shared" si="15"/>
        <v>7409616.2279143557</v>
      </c>
      <c r="K24" s="631">
        <f t="shared" si="15"/>
        <v>9568720.2279143557</v>
      </c>
      <c r="L24" s="197">
        <f t="shared" si="15"/>
        <v>6960739.2279143557</v>
      </c>
      <c r="M24" s="197">
        <f t="shared" si="15"/>
        <v>7998414.2279143557</v>
      </c>
      <c r="N24" s="197">
        <f t="shared" si="15"/>
        <v>7905203.2279143557</v>
      </c>
      <c r="O24" s="197">
        <f t="shared" si="15"/>
        <v>2948638.2279143557</v>
      </c>
      <c r="P24" s="197">
        <f t="shared" si="15"/>
        <v>899483.2279143557</v>
      </c>
      <c r="Q24" s="197">
        <f t="shared" si="15"/>
        <v>2336920.2279143557</v>
      </c>
      <c r="R24" s="197">
        <f t="shared" si="15"/>
        <v>4920109.2279143557</v>
      </c>
      <c r="S24" s="198">
        <f t="shared" si="15"/>
        <v>1879587.2279143557</v>
      </c>
      <c r="U24" s="23" t="s">
        <v>29</v>
      </c>
      <c r="V24" s="220">
        <f t="shared" ref="V24:V31" si="16">C15/$C$23</f>
        <v>1.292750907598602E-2</v>
      </c>
    </row>
    <row r="25" spans="1:22" s="178" customFormat="1" x14ac:dyDescent="0.25">
      <c r="A25" s="182"/>
      <c r="B25" s="182"/>
      <c r="C25" s="182"/>
      <c r="D25" s="183">
        <f>D2+6</f>
        <v>42195</v>
      </c>
      <c r="E25" s="183">
        <f>D25+7</f>
        <v>42202</v>
      </c>
      <c r="F25" s="183">
        <f t="shared" ref="F25:S25" si="17">E25+7</f>
        <v>42209</v>
      </c>
      <c r="G25" s="183">
        <f t="shared" si="17"/>
        <v>42216</v>
      </c>
      <c r="H25" s="183">
        <f t="shared" si="17"/>
        <v>42223</v>
      </c>
      <c r="I25" s="183">
        <f t="shared" si="17"/>
        <v>42230</v>
      </c>
      <c r="J25" s="183">
        <f t="shared" si="17"/>
        <v>42237</v>
      </c>
      <c r="K25" s="183">
        <f t="shared" si="17"/>
        <v>42244</v>
      </c>
      <c r="L25" s="183">
        <f t="shared" si="17"/>
        <v>42251</v>
      </c>
      <c r="M25" s="183">
        <f t="shared" si="17"/>
        <v>42258</v>
      </c>
      <c r="N25" s="183">
        <f t="shared" si="17"/>
        <v>42265</v>
      </c>
      <c r="O25" s="183">
        <f t="shared" si="17"/>
        <v>42272</v>
      </c>
      <c r="P25" s="183">
        <f t="shared" si="17"/>
        <v>42279</v>
      </c>
      <c r="Q25" s="183">
        <f t="shared" si="17"/>
        <v>42286</v>
      </c>
      <c r="R25" s="183">
        <f t="shared" si="17"/>
        <v>42293</v>
      </c>
      <c r="S25" s="184">
        <f t="shared" si="17"/>
        <v>42300</v>
      </c>
      <c r="U25" s="23" t="s">
        <v>30</v>
      </c>
      <c r="V25" s="220">
        <f t="shared" si="16"/>
        <v>0</v>
      </c>
    </row>
    <row r="26" spans="1:22" s="178" customFormat="1" x14ac:dyDescent="0.25">
      <c r="A26" s="768" t="s">
        <v>721</v>
      </c>
      <c r="B26" s="768"/>
      <c r="C26" s="768"/>
      <c r="D26" s="559">
        <v>1752500</v>
      </c>
      <c r="E26" s="559">
        <v>971840</v>
      </c>
      <c r="F26" s="559">
        <v>564770</v>
      </c>
      <c r="G26" s="559">
        <v>504010</v>
      </c>
      <c r="H26" s="559">
        <v>508190</v>
      </c>
      <c r="I26" s="559"/>
      <c r="J26" s="559"/>
      <c r="K26" s="559"/>
      <c r="L26" s="559"/>
      <c r="M26" s="559">
        <v>622370</v>
      </c>
      <c r="N26" s="559">
        <v>611120</v>
      </c>
      <c r="O26" s="559">
        <v>785620</v>
      </c>
      <c r="P26" s="559">
        <v>915960</v>
      </c>
      <c r="Q26" s="559"/>
      <c r="R26" s="559"/>
      <c r="S26" s="559">
        <v>1291160</v>
      </c>
      <c r="T26" s="194"/>
      <c r="U26" s="23" t="s">
        <v>6</v>
      </c>
      <c r="V26" s="220">
        <f t="shared" si="16"/>
        <v>1.8995504513801904E-2</v>
      </c>
    </row>
    <row r="27" spans="1:22" s="178" customFormat="1" x14ac:dyDescent="0.25">
      <c r="A27" s="769" t="s">
        <v>1212</v>
      </c>
      <c r="B27" s="769"/>
      <c r="C27" s="769"/>
      <c r="D27" s="560">
        <v>356000</v>
      </c>
      <c r="E27" s="560">
        <v>213028</v>
      </c>
      <c r="F27" s="560">
        <v>141896</v>
      </c>
      <c r="G27" s="560">
        <v>141000</v>
      </c>
      <c r="H27" s="560">
        <v>143354</v>
      </c>
      <c r="I27" s="560"/>
      <c r="J27" s="560"/>
      <c r="K27" s="560"/>
      <c r="L27" s="560"/>
      <c r="M27" s="560">
        <v>159884</v>
      </c>
      <c r="N27" s="560">
        <v>157700</v>
      </c>
      <c r="O27" s="560">
        <v>209310</v>
      </c>
      <c r="P27" s="560">
        <v>242742</v>
      </c>
      <c r="Q27" s="560"/>
      <c r="R27" s="560"/>
      <c r="S27" s="560">
        <v>316916</v>
      </c>
      <c r="T27" s="195"/>
      <c r="U27" s="23" t="s">
        <v>8</v>
      </c>
      <c r="V27" s="220">
        <f t="shared" si="16"/>
        <v>6.2152980004259806E-3</v>
      </c>
    </row>
    <row r="28" spans="1:22" x14ac:dyDescent="0.25">
      <c r="A28" s="770" t="s">
        <v>1985</v>
      </c>
      <c r="B28" s="770"/>
      <c r="C28" s="770"/>
      <c r="D28" s="561">
        <v>1437000</v>
      </c>
      <c r="E28" s="561">
        <v>948790</v>
      </c>
      <c r="F28" s="561">
        <v>512830</v>
      </c>
      <c r="G28" s="561">
        <v>418000</v>
      </c>
      <c r="H28" s="561">
        <v>422910</v>
      </c>
      <c r="I28" s="561"/>
      <c r="J28" s="561"/>
      <c r="K28" s="561"/>
      <c r="L28" s="561"/>
      <c r="M28" s="561">
        <v>480490</v>
      </c>
      <c r="N28" s="561">
        <v>483250</v>
      </c>
      <c r="O28" s="561">
        <v>628190</v>
      </c>
      <c r="P28" s="561">
        <v>773230</v>
      </c>
      <c r="Q28" s="561"/>
      <c r="R28" s="561"/>
      <c r="S28" s="561">
        <v>1256390</v>
      </c>
      <c r="T28" s="192"/>
      <c r="U28" s="23" t="s">
        <v>50</v>
      </c>
      <c r="V28" s="220">
        <f t="shared" si="16"/>
        <v>0.89091342078231728</v>
      </c>
    </row>
    <row r="29" spans="1:22" x14ac:dyDescent="0.25">
      <c r="A29" s="768" t="s">
        <v>1986</v>
      </c>
      <c r="B29" s="768"/>
      <c r="C29" s="768"/>
      <c r="D29" s="562">
        <v>268716</v>
      </c>
      <c r="E29" s="562">
        <v>207832</v>
      </c>
      <c r="F29" s="562">
        <v>123838</v>
      </c>
      <c r="G29" s="562">
        <v>111346</v>
      </c>
      <c r="H29" s="562">
        <v>113966</v>
      </c>
      <c r="I29" s="562"/>
      <c r="J29" s="562"/>
      <c r="K29" s="562"/>
      <c r="L29" s="562"/>
      <c r="M29" s="562">
        <v>118162</v>
      </c>
      <c r="N29" s="562">
        <v>120418</v>
      </c>
      <c r="O29" s="562">
        <v>164446</v>
      </c>
      <c r="P29" s="562">
        <v>197410</v>
      </c>
      <c r="Q29" s="562"/>
      <c r="R29" s="562"/>
      <c r="S29" s="562">
        <v>305974</v>
      </c>
      <c r="T29" s="192"/>
      <c r="U29" s="23" t="s">
        <v>11</v>
      </c>
      <c r="V29" s="220">
        <f t="shared" si="16"/>
        <v>0</v>
      </c>
    </row>
    <row r="30" spans="1:22" s="6" customFormat="1" x14ac:dyDescent="0.25">
      <c r="A30" s="769" t="s">
        <v>1987</v>
      </c>
      <c r="B30" s="769"/>
      <c r="C30" s="769"/>
      <c r="D30" s="563">
        <v>6.75</v>
      </c>
      <c r="E30" s="563">
        <v>5.5</v>
      </c>
      <c r="F30" s="563">
        <v>5.5</v>
      </c>
      <c r="G30" s="563">
        <v>5.5</v>
      </c>
      <c r="H30" s="563">
        <v>6</v>
      </c>
      <c r="I30" s="563"/>
      <c r="J30" s="563"/>
      <c r="K30" s="563"/>
      <c r="L30" s="563"/>
      <c r="M30" s="563">
        <v>5.75</v>
      </c>
      <c r="N30" s="563">
        <v>5.75</v>
      </c>
      <c r="O30" s="563">
        <v>5.25</v>
      </c>
      <c r="P30" s="563">
        <v>5.5</v>
      </c>
      <c r="Q30" s="563"/>
      <c r="R30" s="563"/>
      <c r="S30" s="563">
        <v>5.5</v>
      </c>
      <c r="U30" s="23" t="s">
        <v>818</v>
      </c>
      <c r="V30" s="220">
        <f t="shared" si="16"/>
        <v>5.0110840128434475E-3</v>
      </c>
    </row>
    <row r="31" spans="1:22" s="6" customFormat="1" x14ac:dyDescent="0.25">
      <c r="A31" s="770" t="s">
        <v>1988</v>
      </c>
      <c r="B31" s="770"/>
      <c r="C31" s="770"/>
      <c r="D31" s="564">
        <v>6.75</v>
      </c>
      <c r="E31" s="564">
        <v>6.75</v>
      </c>
      <c r="F31" s="564">
        <v>5.75</v>
      </c>
      <c r="G31" s="564">
        <v>5.5</v>
      </c>
      <c r="H31" s="564">
        <v>5.5</v>
      </c>
      <c r="I31" s="564"/>
      <c r="J31" s="564"/>
      <c r="K31" s="564"/>
      <c r="L31" s="564"/>
      <c r="M31" s="564">
        <v>5.5</v>
      </c>
      <c r="N31" s="564">
        <v>5.5</v>
      </c>
      <c r="O31" s="564">
        <v>5.5</v>
      </c>
      <c r="P31" s="564">
        <v>5.5</v>
      </c>
      <c r="Q31" s="564"/>
      <c r="R31" s="564"/>
      <c r="S31" s="564">
        <v>6</v>
      </c>
      <c r="U31" s="23" t="s">
        <v>10</v>
      </c>
      <c r="V31" s="220">
        <f t="shared" si="16"/>
        <v>0</v>
      </c>
    </row>
    <row r="32" spans="1:22" s="6" customFormat="1" x14ac:dyDescent="0.25">
      <c r="A32" s="768" t="s">
        <v>1989</v>
      </c>
      <c r="B32" s="768"/>
      <c r="C32" s="768"/>
      <c r="D32" s="562" t="s">
        <v>2037</v>
      </c>
      <c r="E32" s="562" t="s">
        <v>2337</v>
      </c>
      <c r="F32" s="562" t="s">
        <v>2369</v>
      </c>
      <c r="G32" s="562" t="s">
        <v>2376</v>
      </c>
      <c r="H32" s="562" t="s">
        <v>2378</v>
      </c>
      <c r="I32" s="562"/>
      <c r="J32" s="562"/>
      <c r="K32" s="562"/>
      <c r="L32" s="562"/>
      <c r="M32" s="562" t="s">
        <v>2398</v>
      </c>
      <c r="N32" s="562" t="s">
        <v>2399</v>
      </c>
      <c r="O32" s="562" t="s">
        <v>2401</v>
      </c>
      <c r="P32" s="562" t="s">
        <v>2403</v>
      </c>
      <c r="Q32" s="562"/>
      <c r="R32" s="562"/>
      <c r="S32" s="562" t="s">
        <v>2410</v>
      </c>
    </row>
    <row r="33" spans="1:22" s="6" customFormat="1" x14ac:dyDescent="0.25">
      <c r="A33" s="769" t="s">
        <v>1990</v>
      </c>
      <c r="B33" s="769"/>
      <c r="C33" s="769"/>
      <c r="D33" s="563">
        <v>7.75</v>
      </c>
      <c r="E33" s="563">
        <v>5.5</v>
      </c>
      <c r="F33" s="563">
        <v>3.25</v>
      </c>
      <c r="G33" s="563">
        <v>2.5</v>
      </c>
      <c r="H33" s="563">
        <v>2.5</v>
      </c>
      <c r="I33" s="563"/>
      <c r="J33" s="563"/>
      <c r="K33" s="563"/>
      <c r="L33" s="563"/>
      <c r="M33" s="563">
        <v>2.5</v>
      </c>
      <c r="N33" s="563">
        <v>2.5</v>
      </c>
      <c r="O33" s="563">
        <v>3.25</v>
      </c>
      <c r="P33" s="563">
        <v>3.75</v>
      </c>
      <c r="Q33" s="563"/>
      <c r="R33" s="563"/>
      <c r="S33" s="563">
        <v>6</v>
      </c>
    </row>
    <row r="34" spans="1:22" s="6" customFormat="1" ht="18.75" x14ac:dyDescent="0.3">
      <c r="A34" s="192"/>
      <c r="B34" s="192"/>
      <c r="C34" s="192"/>
      <c r="D34" s="192"/>
      <c r="E34" s="192"/>
      <c r="F34" s="192"/>
      <c r="G34" s="192"/>
      <c r="H34" s="192"/>
      <c r="I34" s="192"/>
      <c r="J34" s="192"/>
      <c r="K34" s="192"/>
      <c r="L34" s="192"/>
      <c r="M34" s="192"/>
      <c r="N34" s="192"/>
      <c r="O34" s="192"/>
      <c r="P34" s="192"/>
      <c r="Q34" s="192"/>
      <c r="R34" s="192"/>
      <c r="S34" s="192"/>
      <c r="V34" s="221">
        <f>SUM(V23:V31)</f>
        <v>1</v>
      </c>
    </row>
    <row r="35" spans="1:22" s="6" customFormat="1" ht="18.75" x14ac:dyDescent="0.3">
      <c r="A35" s="27"/>
      <c r="B35" s="752" t="s">
        <v>821</v>
      </c>
      <c r="C35" s="167" t="s">
        <v>819</v>
      </c>
      <c r="D35" s="189">
        <v>2673995</v>
      </c>
      <c r="E35" s="189">
        <v>7989970</v>
      </c>
      <c r="F35" s="189">
        <v>10743471</v>
      </c>
      <c r="G35" s="189">
        <v>10743471</v>
      </c>
      <c r="H35" s="189">
        <v>10743471</v>
      </c>
      <c r="I35" s="189"/>
      <c r="J35" s="189"/>
      <c r="K35" s="189"/>
      <c r="L35" s="189"/>
      <c r="M35" s="189">
        <v>12985000</v>
      </c>
      <c r="N35" s="189">
        <v>12985000</v>
      </c>
      <c r="O35" s="189">
        <v>17141501</v>
      </c>
      <c r="P35" s="189"/>
      <c r="Q35" s="189"/>
      <c r="R35" s="189"/>
      <c r="S35" s="189">
        <f>'A-P_T47'!C14</f>
        <v>14489501</v>
      </c>
      <c r="U35" s="746">
        <f>C23</f>
        <v>51485866</v>
      </c>
      <c r="V35" s="747"/>
    </row>
    <row r="36" spans="1:22" x14ac:dyDescent="0.25">
      <c r="A36" s="27"/>
      <c r="B36" s="753"/>
      <c r="C36" s="167" t="s">
        <v>481</v>
      </c>
      <c r="D36" s="189">
        <v>27871788</v>
      </c>
      <c r="E36" s="189">
        <v>12206684</v>
      </c>
      <c r="F36" s="189">
        <v>10195684</v>
      </c>
      <c r="G36" s="189">
        <v>10195684</v>
      </c>
      <c r="H36" s="189">
        <v>10195684</v>
      </c>
      <c r="I36" s="189"/>
      <c r="J36" s="189"/>
      <c r="K36" s="189"/>
      <c r="L36" s="189"/>
      <c r="M36" s="189">
        <v>10195684</v>
      </c>
      <c r="N36" s="189">
        <v>10195684</v>
      </c>
      <c r="O36" s="189">
        <v>11145684</v>
      </c>
      <c r="P36" s="189"/>
      <c r="Q36" s="189"/>
      <c r="R36" s="189"/>
      <c r="S36" s="189">
        <f>'A-P_T47'!C13</f>
        <v>14715163</v>
      </c>
    </row>
    <row r="37" spans="1:22" x14ac:dyDescent="0.25">
      <c r="A37" s="27"/>
      <c r="B37" s="753"/>
      <c r="C37" s="167" t="s">
        <v>1385</v>
      </c>
      <c r="D37" s="189">
        <v>1213040</v>
      </c>
      <c r="E37" s="189">
        <v>0</v>
      </c>
      <c r="F37" s="189">
        <v>0</v>
      </c>
      <c r="G37" s="189">
        <v>0</v>
      </c>
      <c r="H37" s="189">
        <v>0</v>
      </c>
      <c r="I37" s="189"/>
      <c r="J37" s="189"/>
      <c r="K37" s="189"/>
      <c r="L37" s="189"/>
      <c r="M37" s="189">
        <v>0</v>
      </c>
      <c r="N37" s="189">
        <v>0</v>
      </c>
      <c r="O37" s="189">
        <v>0</v>
      </c>
      <c r="P37" s="189"/>
      <c r="Q37" s="189"/>
      <c r="R37" s="189"/>
      <c r="S37" s="189">
        <f>'A-P_T47'!C15</f>
        <v>0</v>
      </c>
    </row>
    <row r="38" spans="1:22" x14ac:dyDescent="0.25">
      <c r="A38" s="27"/>
      <c r="B38" s="754"/>
      <c r="C38" s="299" t="s">
        <v>291</v>
      </c>
      <c r="D38" s="300">
        <v>31758823</v>
      </c>
      <c r="E38" s="300">
        <v>20196654</v>
      </c>
      <c r="F38" s="300">
        <v>20939155</v>
      </c>
      <c r="G38" s="300">
        <v>20939155</v>
      </c>
      <c r="H38" s="300">
        <v>20939155</v>
      </c>
      <c r="I38" s="300"/>
      <c r="J38" s="300"/>
      <c r="K38" s="300"/>
      <c r="L38" s="300"/>
      <c r="M38" s="300">
        <v>23180684</v>
      </c>
      <c r="N38" s="300">
        <v>23180684</v>
      </c>
      <c r="O38" s="300">
        <v>28287185</v>
      </c>
      <c r="P38" s="300"/>
      <c r="Q38" s="300"/>
      <c r="R38" s="300"/>
      <c r="S38" s="300">
        <f>S37+S36+S35</f>
        <v>29204664</v>
      </c>
    </row>
    <row r="39" spans="1:22" x14ac:dyDescent="0.25">
      <c r="C39" s="192"/>
      <c r="E39" s="247"/>
      <c r="F39" s="247"/>
      <c r="G39" s="247"/>
      <c r="H39" s="247"/>
      <c r="J39"/>
      <c r="K39"/>
      <c r="L39"/>
    </row>
    <row r="40" spans="1:22" ht="15" customHeight="1" x14ac:dyDescent="0.25">
      <c r="E40"/>
      <c r="J40" s="731"/>
      <c r="K40" s="731"/>
    </row>
    <row r="41" spans="1:22" x14ac:dyDescent="0.25">
      <c r="B41" s="5"/>
      <c r="C41" s="2" t="s">
        <v>1830</v>
      </c>
      <c r="D41" s="616">
        <v>99165</v>
      </c>
      <c r="E41" s="616">
        <v>107305</v>
      </c>
      <c r="F41" s="616">
        <v>112855</v>
      </c>
      <c r="G41" s="506">
        <v>116555</v>
      </c>
      <c r="H41" s="616">
        <v>119145</v>
      </c>
      <c r="I41" s="616">
        <v>120625</v>
      </c>
      <c r="J41" s="504">
        <v>121735</v>
      </c>
      <c r="K41" s="504">
        <v>122290</v>
      </c>
      <c r="L41" s="505">
        <v>122660</v>
      </c>
      <c r="M41" s="505">
        <v>123030</v>
      </c>
      <c r="N41" s="505">
        <v>123030</v>
      </c>
      <c r="O41" s="505">
        <v>123215</v>
      </c>
      <c r="P41" s="505">
        <v>123399.61395717683</v>
      </c>
      <c r="Q41" s="505">
        <v>123399.61395717683</v>
      </c>
      <c r="R41" s="505">
        <v>123215</v>
      </c>
      <c r="S41" s="505">
        <v>122845</v>
      </c>
    </row>
    <row r="42" spans="1:22" x14ac:dyDescent="0.25">
      <c r="E42" s="616">
        <f>(E41-D41)/D41</f>
        <v>8.2085413200221849E-2</v>
      </c>
      <c r="F42" s="616">
        <f t="shared" ref="F42:S42" si="18">(F41-E41)/E41</f>
        <v>5.1721727785284936E-2</v>
      </c>
      <c r="G42" s="616">
        <f t="shared" si="18"/>
        <v>3.2785432634796864E-2</v>
      </c>
      <c r="H42" s="616">
        <f t="shared" si="18"/>
        <v>2.2221268928831882E-2</v>
      </c>
      <c r="I42" s="616">
        <f t="shared" si="18"/>
        <v>1.2421838935750556E-2</v>
      </c>
      <c r="J42" s="616">
        <f t="shared" si="18"/>
        <v>9.2020725388601045E-3</v>
      </c>
      <c r="K42" s="616">
        <f t="shared" si="18"/>
        <v>4.5590832546104241E-3</v>
      </c>
      <c r="L42" s="616">
        <f t="shared" si="18"/>
        <v>3.0255948973750921E-3</v>
      </c>
      <c r="M42" s="616">
        <f t="shared" si="18"/>
        <v>3.0164682863199088E-3</v>
      </c>
      <c r="N42" s="616">
        <f t="shared" si="18"/>
        <v>0</v>
      </c>
      <c r="O42" s="616">
        <f t="shared" si="18"/>
        <v>1.5036982849711453E-3</v>
      </c>
      <c r="P42" s="616">
        <f t="shared" si="18"/>
        <v>1.4983074883482448E-3</v>
      </c>
      <c r="Q42" s="616">
        <f t="shared" si="18"/>
        <v>0</v>
      </c>
      <c r="R42" s="616">
        <f t="shared" si="18"/>
        <v>-1.4960659215748865E-3</v>
      </c>
      <c r="S42" s="616">
        <f t="shared" si="18"/>
        <v>-3.0028811427180134E-3</v>
      </c>
    </row>
    <row r="43" spans="1:22" x14ac:dyDescent="0.25">
      <c r="H43" s="615"/>
      <c r="I43" s="615"/>
      <c r="J43" s="615"/>
      <c r="K43" s="615"/>
    </row>
    <row r="44" spans="1:22" x14ac:dyDescent="0.25">
      <c r="H44" s="615"/>
      <c r="I44" s="615"/>
      <c r="J44" s="615"/>
      <c r="K44" s="615"/>
      <c r="M44" s="632"/>
    </row>
    <row r="45" spans="1:22" x14ac:dyDescent="0.25">
      <c r="H45" s="478"/>
      <c r="I45" s="478"/>
      <c r="J45" s="615"/>
      <c r="K45" s="615"/>
    </row>
    <row r="46" spans="1:22" x14ac:dyDescent="0.25">
      <c r="H46" s="615"/>
      <c r="I46" s="615"/>
      <c r="J46" s="615"/>
      <c r="K46" s="615"/>
    </row>
    <row r="47" spans="1:22" x14ac:dyDescent="0.25">
      <c r="H47" s="615"/>
      <c r="I47" s="615"/>
      <c r="J47" s="615"/>
      <c r="K47" s="615"/>
    </row>
    <row r="48" spans="1:22" x14ac:dyDescent="0.25">
      <c r="H48" s="615"/>
      <c r="I48" s="615"/>
      <c r="J48" s="615"/>
      <c r="K48" s="615"/>
    </row>
    <row r="49" spans="8:11" x14ac:dyDescent="0.25">
      <c r="H49" s="727"/>
      <c r="I49" s="727"/>
      <c r="J49" s="727"/>
      <c r="K49" s="727"/>
    </row>
    <row r="50" spans="8:11" x14ac:dyDescent="0.25">
      <c r="H50" s="615"/>
      <c r="I50" s="615"/>
      <c r="J50" s="615"/>
      <c r="K50" s="615"/>
    </row>
    <row r="51" spans="8:11" x14ac:dyDescent="0.25">
      <c r="H51" s="727"/>
      <c r="I51" s="727"/>
      <c r="J51" s="727"/>
      <c r="K51" s="727"/>
    </row>
    <row r="52" spans="8:11" ht="15" customHeight="1" x14ac:dyDescent="0.25">
      <c r="H52" s="727"/>
      <c r="I52" s="727"/>
      <c r="J52" s="727"/>
      <c r="K52" s="4"/>
    </row>
  </sheetData>
  <mergeCells count="17">
    <mergeCell ref="J40:K40"/>
    <mergeCell ref="H49:K49"/>
    <mergeCell ref="H51:K51"/>
    <mergeCell ref="H52:J52"/>
    <mergeCell ref="B35:B38"/>
    <mergeCell ref="A11:A12"/>
    <mergeCell ref="U14:V14"/>
    <mergeCell ref="A20:A21"/>
    <mergeCell ref="A26:C26"/>
    <mergeCell ref="A27:C27"/>
    <mergeCell ref="A33:C33"/>
    <mergeCell ref="U35:V35"/>
    <mergeCell ref="A28:C28"/>
    <mergeCell ref="A29:C29"/>
    <mergeCell ref="A30:C30"/>
    <mergeCell ref="A31:C31"/>
    <mergeCell ref="A32:C32"/>
  </mergeCells>
  <pageMargins left="0.7" right="0.7" top="0.75" bottom="0.75" header="0.3" footer="0.3"/>
  <pageSetup paperSize="9" orientation="portrait" horizontalDpi="200" verticalDpi="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V95"/>
  <sheetViews>
    <sheetView topLeftCell="A49" zoomScale="80" zoomScaleNormal="80" workbookViewId="0">
      <selection activeCell="D75" sqref="D75"/>
    </sheetView>
  </sheetViews>
  <sheetFormatPr baseColWidth="10" defaultColWidth="11.42578125" defaultRowHeight="15" x14ac:dyDescent="0.25"/>
  <cols>
    <col min="15" max="15" width="12" bestFit="1" customWidth="1"/>
  </cols>
  <sheetData>
    <row r="1" spans="1:22" ht="18.75" x14ac:dyDescent="0.3">
      <c r="A1" s="724" t="s">
        <v>355</v>
      </c>
      <c r="B1" s="724"/>
      <c r="G1" s="724" t="s">
        <v>407</v>
      </c>
      <c r="H1" s="724"/>
    </row>
    <row r="3" spans="1:22" x14ac:dyDescent="0.25">
      <c r="A3" t="s">
        <v>356</v>
      </c>
      <c r="G3" t="s">
        <v>408</v>
      </c>
    </row>
    <row r="4" spans="1:22" x14ac:dyDescent="0.25">
      <c r="A4" t="s">
        <v>357</v>
      </c>
      <c r="G4" t="s">
        <v>409</v>
      </c>
      <c r="V4">
        <v>105</v>
      </c>
    </row>
    <row r="5" spans="1:22" x14ac:dyDescent="0.25">
      <c r="A5" t="s">
        <v>358</v>
      </c>
      <c r="G5" t="s">
        <v>358</v>
      </c>
      <c r="V5">
        <v>120</v>
      </c>
    </row>
    <row r="7" spans="1:22" x14ac:dyDescent="0.25">
      <c r="A7" t="s">
        <v>359</v>
      </c>
      <c r="G7" t="s">
        <v>410</v>
      </c>
    </row>
    <row r="8" spans="1:22" x14ac:dyDescent="0.25">
      <c r="A8" t="s">
        <v>360</v>
      </c>
    </row>
    <row r="9" spans="1:22" x14ac:dyDescent="0.25">
      <c r="G9" t="s">
        <v>411</v>
      </c>
    </row>
    <row r="10" spans="1:22" x14ac:dyDescent="0.25">
      <c r="A10" t="s">
        <v>336</v>
      </c>
    </row>
    <row r="11" spans="1:22" x14ac:dyDescent="0.25">
      <c r="G11" t="s">
        <v>412</v>
      </c>
    </row>
    <row r="12" spans="1:22" x14ac:dyDescent="0.25">
      <c r="A12" t="s">
        <v>361</v>
      </c>
      <c r="G12" t="s">
        <v>413</v>
      </c>
    </row>
    <row r="13" spans="1:22" x14ac:dyDescent="0.25">
      <c r="A13" t="s">
        <v>362</v>
      </c>
      <c r="G13" t="s">
        <v>414</v>
      </c>
      <c r="M13" s="55"/>
      <c r="N13" s="55" t="s">
        <v>471</v>
      </c>
      <c r="O13" s="55" t="s">
        <v>473</v>
      </c>
      <c r="P13" s="55" t="s">
        <v>471</v>
      </c>
      <c r="Q13" s="55" t="s">
        <v>473</v>
      </c>
      <c r="R13" s="55"/>
    </row>
    <row r="14" spans="1:22" x14ac:dyDescent="0.25">
      <c r="A14" t="s">
        <v>363</v>
      </c>
      <c r="G14" t="s">
        <v>415</v>
      </c>
      <c r="M14" s="56" t="s">
        <v>470</v>
      </c>
      <c r="N14" s="57">
        <v>1.05</v>
      </c>
      <c r="O14" s="57">
        <v>1.05</v>
      </c>
      <c r="P14" s="58">
        <f t="shared" ref="P14:Q16" si="0">N14-100%</f>
        <v>5.0000000000000044E-2</v>
      </c>
      <c r="Q14" s="58">
        <f t="shared" si="0"/>
        <v>5.0000000000000044E-2</v>
      </c>
      <c r="R14" s="58">
        <f>Q14+P14</f>
        <v>0.10000000000000009</v>
      </c>
    </row>
    <row r="15" spans="1:22" x14ac:dyDescent="0.25">
      <c r="A15" t="s">
        <v>364</v>
      </c>
      <c r="G15" t="s">
        <v>416</v>
      </c>
      <c r="M15" s="91" t="s">
        <v>471</v>
      </c>
      <c r="N15" s="92">
        <v>1.2</v>
      </c>
      <c r="O15" s="92">
        <v>0.92430000000000001</v>
      </c>
      <c r="P15" s="93">
        <f t="shared" si="0"/>
        <v>0.19999999999999996</v>
      </c>
      <c r="Q15" s="93">
        <f t="shared" si="0"/>
        <v>-7.569999999999999E-2</v>
      </c>
      <c r="R15" s="93">
        <f>Q15+P15</f>
        <v>0.12429999999999997</v>
      </c>
      <c r="T15" s="129">
        <f>(N15-N14)/N14</f>
        <v>0.14285714285714277</v>
      </c>
      <c r="U15" s="129">
        <f>(O15-O14)/O14</f>
        <v>-0.11971428571428575</v>
      </c>
    </row>
    <row r="16" spans="1:22" x14ac:dyDescent="0.25">
      <c r="A16" t="s">
        <v>365</v>
      </c>
      <c r="G16" t="s">
        <v>417</v>
      </c>
      <c r="M16" s="94" t="s">
        <v>472</v>
      </c>
      <c r="N16" s="95">
        <v>0.92957000000000001</v>
      </c>
      <c r="O16" s="95">
        <v>1.1337999999999999</v>
      </c>
      <c r="P16" s="96">
        <f t="shared" si="0"/>
        <v>-7.0429999999999993E-2</v>
      </c>
      <c r="Q16" s="96">
        <f t="shared" si="0"/>
        <v>0.13379999999999992</v>
      </c>
      <c r="R16" s="96">
        <f>Q16+P16</f>
        <v>6.3369999999999926E-2</v>
      </c>
      <c r="T16" s="129">
        <f>(N16-N14)/N14</f>
        <v>-0.11469523809523813</v>
      </c>
      <c r="U16" s="129">
        <f>(O16-O14)/O14</f>
        <v>7.9809523809523691E-2</v>
      </c>
    </row>
    <row r="17" spans="1:17" x14ac:dyDescent="0.25">
      <c r="A17" t="s">
        <v>366</v>
      </c>
      <c r="G17" t="s">
        <v>418</v>
      </c>
    </row>
    <row r="18" spans="1:17" x14ac:dyDescent="0.25">
      <c r="A18" t="s">
        <v>367</v>
      </c>
      <c r="G18" t="s">
        <v>419</v>
      </c>
    </row>
    <row r="19" spans="1:17" x14ac:dyDescent="0.25">
      <c r="A19" t="s">
        <v>368</v>
      </c>
      <c r="G19" t="s">
        <v>420</v>
      </c>
      <c r="P19" s="129">
        <f>(1.05-1.2)/1.2</f>
        <v>-0.12499999999999993</v>
      </c>
      <c r="Q19" s="129">
        <f>(1.05-0.925)/0.925</f>
        <v>0.13513513513513511</v>
      </c>
    </row>
    <row r="20" spans="1:17" x14ac:dyDescent="0.25">
      <c r="A20" t="s">
        <v>369</v>
      </c>
      <c r="G20" t="s">
        <v>421</v>
      </c>
      <c r="N20" s="160"/>
      <c r="O20" s="160"/>
      <c r="P20" s="129">
        <f>(0.93-1.2)/1.2</f>
        <v>-0.22499999999999992</v>
      </c>
      <c r="Q20" s="129">
        <f>(1.135-0.925)/0.925</f>
        <v>0.22702702702702698</v>
      </c>
    </row>
    <row r="21" spans="1:17" x14ac:dyDescent="0.25">
      <c r="A21" t="s">
        <v>370</v>
      </c>
      <c r="G21" t="s">
        <v>422</v>
      </c>
      <c r="M21" t="s">
        <v>1208</v>
      </c>
    </row>
    <row r="22" spans="1:17" x14ac:dyDescent="0.25">
      <c r="A22" t="s">
        <v>371</v>
      </c>
      <c r="G22" t="s">
        <v>423</v>
      </c>
      <c r="M22" s="293" t="s">
        <v>1202</v>
      </c>
      <c r="O22" s="63"/>
      <c r="P22" s="63"/>
      <c r="Q22" s="63"/>
    </row>
    <row r="23" spans="1:17" x14ac:dyDescent="0.25">
      <c r="A23" t="s">
        <v>372</v>
      </c>
      <c r="G23" t="s">
        <v>424</v>
      </c>
      <c r="M23" s="293" t="s">
        <v>1203</v>
      </c>
      <c r="O23" s="63"/>
      <c r="P23" s="63"/>
      <c r="Q23" s="63"/>
    </row>
    <row r="24" spans="1:17" x14ac:dyDescent="0.25">
      <c r="A24" t="s">
        <v>373</v>
      </c>
      <c r="G24" t="s">
        <v>425</v>
      </c>
      <c r="M24" s="293" t="s">
        <v>1204</v>
      </c>
      <c r="O24" s="63"/>
      <c r="P24" s="63"/>
      <c r="Q24" s="63"/>
    </row>
    <row r="25" spans="1:17" x14ac:dyDescent="0.25">
      <c r="A25" t="s">
        <v>374</v>
      </c>
      <c r="G25" t="s">
        <v>426</v>
      </c>
      <c r="M25" s="293" t="s">
        <v>1205</v>
      </c>
      <c r="O25" s="63"/>
      <c r="P25" s="63"/>
      <c r="Q25" s="63"/>
    </row>
    <row r="26" spans="1:17" x14ac:dyDescent="0.25">
      <c r="A26" t="s">
        <v>375</v>
      </c>
      <c r="G26" t="s">
        <v>427</v>
      </c>
      <c r="M26" s="293" t="s">
        <v>1206</v>
      </c>
    </row>
    <row r="27" spans="1:17" x14ac:dyDescent="0.25">
      <c r="A27" t="s">
        <v>376</v>
      </c>
      <c r="G27" t="s">
        <v>428</v>
      </c>
      <c r="M27" s="293" t="s">
        <v>1207</v>
      </c>
    </row>
    <row r="28" spans="1:17" x14ac:dyDescent="0.25">
      <c r="A28" t="s">
        <v>377</v>
      </c>
      <c r="G28" t="s">
        <v>429</v>
      </c>
    </row>
    <row r="29" spans="1:17" x14ac:dyDescent="0.25">
      <c r="A29" t="s">
        <v>378</v>
      </c>
      <c r="G29" t="s">
        <v>430</v>
      </c>
    </row>
    <row r="30" spans="1:17" x14ac:dyDescent="0.25">
      <c r="A30" t="s">
        <v>379</v>
      </c>
      <c r="G30" t="s">
        <v>431</v>
      </c>
      <c r="N30" s="11" t="s">
        <v>482</v>
      </c>
      <c r="O30" s="11" t="s">
        <v>483</v>
      </c>
    </row>
    <row r="31" spans="1:17" x14ac:dyDescent="0.25">
      <c r="A31" t="s">
        <v>380</v>
      </c>
      <c r="G31" t="s">
        <v>432</v>
      </c>
      <c r="N31" s="11" t="s">
        <v>484</v>
      </c>
      <c r="O31" s="11" t="s">
        <v>488</v>
      </c>
    </row>
    <row r="32" spans="1:17" x14ac:dyDescent="0.25">
      <c r="A32" t="s">
        <v>381</v>
      </c>
      <c r="G32" t="s">
        <v>433</v>
      </c>
      <c r="N32" s="11" t="s">
        <v>485</v>
      </c>
      <c r="O32" s="11" t="s">
        <v>489</v>
      </c>
    </row>
    <row r="33" spans="1:15" x14ac:dyDescent="0.25">
      <c r="A33" t="s">
        <v>382</v>
      </c>
      <c r="G33" t="s">
        <v>434</v>
      </c>
      <c r="N33" s="11" t="s">
        <v>486</v>
      </c>
      <c r="O33" s="11" t="s">
        <v>480</v>
      </c>
    </row>
    <row r="34" spans="1:15" x14ac:dyDescent="0.25">
      <c r="A34" t="s">
        <v>383</v>
      </c>
      <c r="G34" t="s">
        <v>435</v>
      </c>
      <c r="N34" s="11" t="s">
        <v>487</v>
      </c>
      <c r="O34" s="11" t="s">
        <v>55</v>
      </c>
    </row>
    <row r="35" spans="1:15" x14ac:dyDescent="0.25">
      <c r="A35" t="s">
        <v>384</v>
      </c>
      <c r="G35" t="s">
        <v>436</v>
      </c>
    </row>
    <row r="36" spans="1:15" x14ac:dyDescent="0.25">
      <c r="G36" t="s">
        <v>437</v>
      </c>
    </row>
    <row r="37" spans="1:15" ht="18.75" x14ac:dyDescent="0.3">
      <c r="A37" s="724" t="s">
        <v>385</v>
      </c>
      <c r="B37" s="724"/>
      <c r="G37" t="s">
        <v>438</v>
      </c>
    </row>
    <row r="38" spans="1:15" x14ac:dyDescent="0.25">
      <c r="G38" t="s">
        <v>439</v>
      </c>
    </row>
    <row r="39" spans="1:15" x14ac:dyDescent="0.25">
      <c r="A39" t="s">
        <v>356</v>
      </c>
      <c r="G39" t="s">
        <v>440</v>
      </c>
    </row>
    <row r="40" spans="1:15" x14ac:dyDescent="0.25">
      <c r="A40" t="s">
        <v>357</v>
      </c>
      <c r="G40" t="s">
        <v>441</v>
      </c>
    </row>
    <row r="41" spans="1:15" x14ac:dyDescent="0.25">
      <c r="A41" t="s">
        <v>358</v>
      </c>
      <c r="G41" t="s">
        <v>442</v>
      </c>
    </row>
    <row r="42" spans="1:15" x14ac:dyDescent="0.25">
      <c r="G42" t="s">
        <v>443</v>
      </c>
    </row>
    <row r="43" spans="1:15" x14ac:dyDescent="0.25">
      <c r="A43" t="s">
        <v>386</v>
      </c>
      <c r="G43" t="s">
        <v>444</v>
      </c>
    </row>
    <row r="44" spans="1:15" x14ac:dyDescent="0.25">
      <c r="A44" t="s">
        <v>387</v>
      </c>
      <c r="G44" t="s">
        <v>445</v>
      </c>
    </row>
    <row r="45" spans="1:15" x14ac:dyDescent="0.25">
      <c r="G45" t="s">
        <v>446</v>
      </c>
    </row>
    <row r="46" spans="1:15" x14ac:dyDescent="0.25">
      <c r="A46" t="s">
        <v>336</v>
      </c>
      <c r="G46" t="s">
        <v>447</v>
      </c>
    </row>
    <row r="48" spans="1:15" x14ac:dyDescent="0.25">
      <c r="A48" t="s">
        <v>388</v>
      </c>
      <c r="G48" t="s">
        <v>448</v>
      </c>
    </row>
    <row r="49" spans="1:8" x14ac:dyDescent="0.25">
      <c r="A49" t="s">
        <v>389</v>
      </c>
    </row>
    <row r="50" spans="1:8" ht="18.75" x14ac:dyDescent="0.3">
      <c r="A50" t="s">
        <v>390</v>
      </c>
      <c r="G50" s="724" t="s">
        <v>449</v>
      </c>
      <c r="H50" s="724"/>
    </row>
    <row r="51" spans="1:8" x14ac:dyDescent="0.25">
      <c r="A51" t="s">
        <v>391</v>
      </c>
    </row>
    <row r="52" spans="1:8" x14ac:dyDescent="0.25">
      <c r="A52" t="s">
        <v>392</v>
      </c>
      <c r="G52" t="s">
        <v>408</v>
      </c>
    </row>
    <row r="53" spans="1:8" x14ac:dyDescent="0.25">
      <c r="A53" t="s">
        <v>393</v>
      </c>
      <c r="G53" t="s">
        <v>409</v>
      </c>
    </row>
    <row r="54" spans="1:8" x14ac:dyDescent="0.25">
      <c r="A54" t="s">
        <v>394</v>
      </c>
      <c r="G54" t="s">
        <v>358</v>
      </c>
    </row>
    <row r="55" spans="1:8" x14ac:dyDescent="0.25">
      <c r="A55" t="s">
        <v>395</v>
      </c>
    </row>
    <row r="56" spans="1:8" x14ac:dyDescent="0.25">
      <c r="A56" t="s">
        <v>396</v>
      </c>
      <c r="G56" t="s">
        <v>450</v>
      </c>
    </row>
    <row r="57" spans="1:8" x14ac:dyDescent="0.25">
      <c r="A57" t="s">
        <v>397</v>
      </c>
    </row>
    <row r="58" spans="1:8" x14ac:dyDescent="0.25">
      <c r="A58" t="s">
        <v>398</v>
      </c>
      <c r="G58" t="s">
        <v>411</v>
      </c>
    </row>
    <row r="59" spans="1:8" x14ac:dyDescent="0.25">
      <c r="A59" t="s">
        <v>399</v>
      </c>
    </row>
    <row r="60" spans="1:8" x14ac:dyDescent="0.25">
      <c r="A60" t="s">
        <v>400</v>
      </c>
      <c r="G60" t="s">
        <v>451</v>
      </c>
    </row>
    <row r="61" spans="1:8" x14ac:dyDescent="0.25">
      <c r="A61" t="s">
        <v>401</v>
      </c>
      <c r="G61" t="s">
        <v>452</v>
      </c>
    </row>
    <row r="62" spans="1:8" x14ac:dyDescent="0.25">
      <c r="A62" t="s">
        <v>402</v>
      </c>
      <c r="G62" t="s">
        <v>453</v>
      </c>
    </row>
    <row r="63" spans="1:8" x14ac:dyDescent="0.25">
      <c r="A63" t="s">
        <v>403</v>
      </c>
      <c r="G63" t="s">
        <v>454</v>
      </c>
    </row>
    <row r="64" spans="1:8" x14ac:dyDescent="0.25">
      <c r="A64" t="s">
        <v>404</v>
      </c>
      <c r="G64" t="s">
        <v>455</v>
      </c>
    </row>
    <row r="65" spans="1:7" x14ac:dyDescent="0.25">
      <c r="A65" t="s">
        <v>405</v>
      </c>
      <c r="G65" t="s">
        <v>456</v>
      </c>
    </row>
    <row r="66" spans="1:7" x14ac:dyDescent="0.25">
      <c r="A66" t="s">
        <v>406</v>
      </c>
      <c r="G66" t="s">
        <v>457</v>
      </c>
    </row>
    <row r="67" spans="1:7" x14ac:dyDescent="0.25">
      <c r="G67" t="s">
        <v>458</v>
      </c>
    </row>
    <row r="68" spans="1:7" x14ac:dyDescent="0.25">
      <c r="G68" t="s">
        <v>459</v>
      </c>
    </row>
    <row r="69" spans="1:7" ht="18.75" x14ac:dyDescent="0.3">
      <c r="A69" s="724" t="s">
        <v>330</v>
      </c>
      <c r="B69" s="724"/>
      <c r="G69" t="s">
        <v>460</v>
      </c>
    </row>
    <row r="70" spans="1:7" x14ac:dyDescent="0.25">
      <c r="G70" t="s">
        <v>461</v>
      </c>
    </row>
    <row r="71" spans="1:7" x14ac:dyDescent="0.25">
      <c r="A71" t="s">
        <v>331</v>
      </c>
      <c r="G71" t="s">
        <v>462</v>
      </c>
    </row>
    <row r="72" spans="1:7" x14ac:dyDescent="0.25">
      <c r="A72" t="s">
        <v>332</v>
      </c>
      <c r="G72" t="s">
        <v>463</v>
      </c>
    </row>
    <row r="73" spans="1:7" x14ac:dyDescent="0.25">
      <c r="A73" t="s">
        <v>333</v>
      </c>
      <c r="G73" t="s">
        <v>464</v>
      </c>
    </row>
    <row r="74" spans="1:7" x14ac:dyDescent="0.25">
      <c r="G74" t="s">
        <v>465</v>
      </c>
    </row>
    <row r="75" spans="1:7" x14ac:dyDescent="0.25">
      <c r="A75" t="s">
        <v>334</v>
      </c>
      <c r="G75" t="s">
        <v>466</v>
      </c>
    </row>
    <row r="76" spans="1:7" x14ac:dyDescent="0.25">
      <c r="A76" t="s">
        <v>335</v>
      </c>
      <c r="G76" t="s">
        <v>467</v>
      </c>
    </row>
    <row r="77" spans="1:7" x14ac:dyDescent="0.25">
      <c r="G77" t="s">
        <v>468</v>
      </c>
    </row>
    <row r="78" spans="1:7" x14ac:dyDescent="0.25">
      <c r="A78" t="s">
        <v>336</v>
      </c>
    </row>
    <row r="80" spans="1:7" x14ac:dyDescent="0.25">
      <c r="A80" t="s">
        <v>337</v>
      </c>
      <c r="G80" t="s">
        <v>469</v>
      </c>
    </row>
    <row r="81" spans="1:5" x14ac:dyDescent="0.25">
      <c r="A81" t="s">
        <v>338</v>
      </c>
    </row>
    <row r="82" spans="1:5" x14ac:dyDescent="0.25">
      <c r="A82" t="s">
        <v>339</v>
      </c>
    </row>
    <row r="83" spans="1:5" x14ac:dyDescent="0.25">
      <c r="A83" t="s">
        <v>340</v>
      </c>
    </row>
    <row r="84" spans="1:5" x14ac:dyDescent="0.25">
      <c r="A84" t="s">
        <v>341</v>
      </c>
    </row>
    <row r="85" spans="1:5" x14ac:dyDescent="0.25">
      <c r="A85" t="s">
        <v>342</v>
      </c>
    </row>
    <row r="86" spans="1:5" x14ac:dyDescent="0.25">
      <c r="A86" t="s">
        <v>343</v>
      </c>
    </row>
    <row r="87" spans="1:5" x14ac:dyDescent="0.25">
      <c r="A87" t="s">
        <v>344</v>
      </c>
    </row>
    <row r="88" spans="1:5" x14ac:dyDescent="0.25">
      <c r="A88" t="s">
        <v>345</v>
      </c>
    </row>
    <row r="89" spans="1:5" x14ac:dyDescent="0.25">
      <c r="A89" t="s">
        <v>346</v>
      </c>
      <c r="E89" s="10"/>
    </row>
    <row r="90" spans="1:5" x14ac:dyDescent="0.25">
      <c r="A90" t="s">
        <v>347</v>
      </c>
    </row>
    <row r="91" spans="1:5" x14ac:dyDescent="0.25">
      <c r="A91" t="s">
        <v>348</v>
      </c>
    </row>
    <row r="92" spans="1:5" x14ac:dyDescent="0.25">
      <c r="A92" t="s">
        <v>349</v>
      </c>
    </row>
    <row r="93" spans="1:5" x14ac:dyDescent="0.25">
      <c r="A93" t="s">
        <v>350</v>
      </c>
    </row>
    <row r="94" spans="1:5" x14ac:dyDescent="0.25">
      <c r="A94" t="s">
        <v>351</v>
      </c>
    </row>
    <row r="95" spans="1:5" x14ac:dyDescent="0.25">
      <c r="A95" t="s">
        <v>352</v>
      </c>
    </row>
  </sheetData>
  <mergeCells count="5">
    <mergeCell ref="A1:B1"/>
    <mergeCell ref="G1:H1"/>
    <mergeCell ref="A37:B37"/>
    <mergeCell ref="G50:H50"/>
    <mergeCell ref="A69:B69"/>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V83"/>
  <sheetViews>
    <sheetView zoomScale="80" zoomScaleNormal="80" workbookViewId="0">
      <pane xSplit="9" ySplit="3" topLeftCell="J22" activePane="bottomRight" state="frozen"/>
      <selection pane="topRight" activeCell="J1" sqref="J1"/>
      <selection pane="bottomLeft" activeCell="A3" sqref="A3"/>
      <selection pane="bottomRight" activeCell="F9" sqref="F9"/>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19.7109375" bestFit="1" customWidth="1"/>
    <col min="6" max="6" width="18" style="225" bestFit="1" customWidth="1"/>
    <col min="7" max="7" width="7.42578125" style="225" bestFit="1" customWidth="1"/>
    <col min="8" max="8" width="2.85546875" customWidth="1"/>
    <col min="9" max="9" width="7.42578125" style="5" bestFit="1" customWidth="1"/>
    <col min="10" max="10" width="17.42578125" style="6" bestFit="1" customWidth="1"/>
    <col min="11" max="11" width="12.7109375" style="5" bestFit="1" customWidth="1"/>
    <col min="12" max="12" width="10" style="5" bestFit="1" customWidth="1"/>
    <col min="13" max="16" width="12.7109375" style="5" bestFit="1" customWidth="1"/>
    <col min="17" max="17" width="7.5703125" style="502" bestFit="1" customWidth="1"/>
    <col min="18" max="18" width="9" style="5" bestFit="1" customWidth="1"/>
    <col min="19" max="19" width="9.28515625" style="5" bestFit="1" customWidth="1"/>
    <col min="20" max="22" width="12.7109375" bestFit="1" customWidth="1"/>
  </cols>
  <sheetData>
    <row r="1" spans="2:22" ht="9" customHeight="1" x14ac:dyDescent="0.25">
      <c r="I1"/>
      <c r="J1" s="2"/>
      <c r="K1"/>
      <c r="L1"/>
      <c r="M1"/>
      <c r="N1"/>
      <c r="O1"/>
      <c r="P1"/>
      <c r="Q1" s="321"/>
      <c r="R1"/>
      <c r="S1"/>
    </row>
    <row r="2" spans="2:22" ht="21" x14ac:dyDescent="0.35">
      <c r="B2" s="735" t="s">
        <v>2300</v>
      </c>
      <c r="C2" s="736"/>
      <c r="D2" s="736"/>
      <c r="E2" s="736"/>
      <c r="F2" s="736"/>
      <c r="G2" s="757"/>
      <c r="I2" s="765" t="s">
        <v>2302</v>
      </c>
      <c r="J2" s="766"/>
      <c r="K2" s="766"/>
      <c r="L2" s="766"/>
      <c r="M2" s="766"/>
      <c r="N2" s="766"/>
      <c r="O2" s="766"/>
      <c r="P2" s="766"/>
      <c r="Q2" s="766"/>
      <c r="R2" s="766"/>
      <c r="S2" s="767"/>
    </row>
    <row r="3" spans="2:22" x14ac:dyDescent="0.25">
      <c r="B3" s="755" t="s">
        <v>1025</v>
      </c>
      <c r="C3" s="749"/>
      <c r="D3" s="749"/>
      <c r="E3" s="749"/>
      <c r="F3" s="749"/>
      <c r="G3" s="756"/>
      <c r="I3" s="346" t="s">
        <v>36</v>
      </c>
      <c r="J3" s="17" t="s">
        <v>481</v>
      </c>
      <c r="K3" s="17" t="s">
        <v>50</v>
      </c>
      <c r="L3" s="17" t="s">
        <v>1332</v>
      </c>
      <c r="M3" s="17" t="s">
        <v>879</v>
      </c>
      <c r="N3" s="17" t="s">
        <v>1333</v>
      </c>
      <c r="O3" s="17" t="s">
        <v>950</v>
      </c>
      <c r="P3" s="17" t="s">
        <v>1336</v>
      </c>
      <c r="Q3" s="406" t="s">
        <v>1326</v>
      </c>
      <c r="R3" s="345" t="s">
        <v>1337</v>
      </c>
      <c r="S3" s="345" t="s">
        <v>1334</v>
      </c>
    </row>
    <row r="4" spans="2:22" ht="18.75" x14ac:dyDescent="0.3">
      <c r="B4" s="759" t="s">
        <v>948</v>
      </c>
      <c r="C4" s="760"/>
      <c r="D4" s="268"/>
      <c r="E4" s="761" t="s">
        <v>949</v>
      </c>
      <c r="F4" s="762"/>
      <c r="G4" s="268"/>
      <c r="I4" s="34" t="s">
        <v>1198</v>
      </c>
      <c r="J4" s="345" t="s">
        <v>1339</v>
      </c>
      <c r="K4" s="278">
        <v>785000</v>
      </c>
      <c r="L4" s="278">
        <v>0</v>
      </c>
      <c r="M4" s="278">
        <v>0</v>
      </c>
      <c r="N4" s="278">
        <v>0</v>
      </c>
      <c r="O4" s="278">
        <f t="shared" ref="O4:O35" si="0">IF(M4=0,0,M4-K4)-N4</f>
        <v>0</v>
      </c>
      <c r="P4" s="278">
        <f t="shared" ref="P4:P35" si="1">IF(M4=0,K4,0)</f>
        <v>785000</v>
      </c>
      <c r="Q4" s="404"/>
      <c r="R4" s="352">
        <v>41325</v>
      </c>
      <c r="S4" s="352"/>
      <c r="T4" s="247"/>
      <c r="V4" s="247"/>
    </row>
    <row r="5" spans="2:22" x14ac:dyDescent="0.25">
      <c r="B5" s="243"/>
      <c r="C5" s="244"/>
      <c r="D5" s="423"/>
      <c r="E5" s="243"/>
      <c r="F5" s="244"/>
      <c r="G5" s="269"/>
      <c r="I5" s="334" t="s">
        <v>1004</v>
      </c>
      <c r="J5" s="337" t="s">
        <v>2253</v>
      </c>
      <c r="K5" s="335">
        <v>23596</v>
      </c>
      <c r="L5" s="335">
        <v>0</v>
      </c>
      <c r="M5" s="335">
        <v>54000</v>
      </c>
      <c r="N5" s="335">
        <f>M5-48292</f>
        <v>5708</v>
      </c>
      <c r="O5" s="335">
        <f t="shared" si="0"/>
        <v>24696</v>
      </c>
      <c r="P5" s="335">
        <f t="shared" si="1"/>
        <v>0</v>
      </c>
      <c r="Q5" s="405">
        <f>O5/K5</f>
        <v>1.0466180708594677</v>
      </c>
      <c r="R5" s="348">
        <v>42156</v>
      </c>
      <c r="S5" s="348">
        <v>42196</v>
      </c>
      <c r="T5" s="247"/>
      <c r="U5" s="247"/>
      <c r="V5" s="622"/>
    </row>
    <row r="6" spans="2:22" x14ac:dyDescent="0.25">
      <c r="B6" s="226" t="s">
        <v>951</v>
      </c>
      <c r="C6" s="242">
        <f>SUM(C7:C9)</f>
        <v>4571395</v>
      </c>
      <c r="D6" s="304">
        <f>C6/$C$34</f>
        <v>5.1406554414660022E-2</v>
      </c>
      <c r="E6" s="226" t="s">
        <v>1329</v>
      </c>
      <c r="F6" s="242">
        <f>F7+F8+F9</f>
        <v>37432360.227914356</v>
      </c>
      <c r="G6" s="271">
        <f>F6/$F$34</f>
        <v>0.42093686127001384</v>
      </c>
      <c r="I6" s="334" t="s">
        <v>1004</v>
      </c>
      <c r="J6" s="337" t="s">
        <v>2353</v>
      </c>
      <c r="K6" s="335">
        <v>399999</v>
      </c>
      <c r="L6" s="335">
        <v>2364</v>
      </c>
      <c r="M6" s="335">
        <v>500000</v>
      </c>
      <c r="N6" s="335">
        <f>M6-449550</f>
        <v>50450</v>
      </c>
      <c r="O6" s="335">
        <f t="shared" si="0"/>
        <v>49551</v>
      </c>
      <c r="P6" s="335">
        <f t="shared" si="1"/>
        <v>0</v>
      </c>
      <c r="Q6" s="405">
        <f>O6/K6</f>
        <v>0.12387780969452424</v>
      </c>
      <c r="R6" s="348">
        <v>42199</v>
      </c>
      <c r="S6" s="348">
        <v>42244</v>
      </c>
      <c r="T6" s="247"/>
      <c r="U6" s="30"/>
      <c r="V6" s="622"/>
    </row>
    <row r="7" spans="2:22" ht="15" customHeight="1" x14ac:dyDescent="0.25">
      <c r="B7" s="249" t="s">
        <v>30</v>
      </c>
      <c r="C7" s="250">
        <f>'A-P_T46'!C7+EconomiaT47!C16</f>
        <v>3392395</v>
      </c>
      <c r="D7" s="424">
        <f>C7/$C$34</f>
        <v>3.8148385375475227E-2</v>
      </c>
      <c r="E7" s="425" t="s">
        <v>1029</v>
      </c>
      <c r="F7" s="237">
        <v>300000</v>
      </c>
      <c r="G7" s="272">
        <f>F7/$F$34</f>
        <v>3.3735799081895147E-3</v>
      </c>
      <c r="I7" s="187" t="s">
        <v>1006</v>
      </c>
      <c r="J7" s="336" t="s">
        <v>2400</v>
      </c>
      <c r="K7" s="333">
        <v>950000</v>
      </c>
      <c r="L7" s="333">
        <v>27936</v>
      </c>
      <c r="M7" s="333">
        <v>0</v>
      </c>
      <c r="N7" s="333">
        <v>0</v>
      </c>
      <c r="O7" s="343">
        <f t="shared" si="0"/>
        <v>0</v>
      </c>
      <c r="P7" s="333">
        <f t="shared" si="1"/>
        <v>950000</v>
      </c>
      <c r="Q7" s="403"/>
      <c r="R7" s="347">
        <v>42266</v>
      </c>
      <c r="S7" s="347"/>
      <c r="T7" s="247"/>
      <c r="U7" s="30"/>
      <c r="V7" s="30"/>
    </row>
    <row r="8" spans="2:22" x14ac:dyDescent="0.25">
      <c r="B8" s="249" t="s">
        <v>11</v>
      </c>
      <c r="C8" s="250">
        <f>'A-P_T46'!C8+EconomiaT47!C20</f>
        <v>1179000</v>
      </c>
      <c r="D8" s="424">
        <f>C8/$C$34</f>
        <v>1.3258169039184793E-2</v>
      </c>
      <c r="E8" s="425" t="s">
        <v>1602</v>
      </c>
      <c r="F8" s="237">
        <f>'A-P_T46'!F9+'A-P_T46'!F8+714160</f>
        <v>36238943</v>
      </c>
      <c r="G8" s="272">
        <f>F8/$F$34</f>
        <v>0.40751656666275016</v>
      </c>
      <c r="I8" s="334" t="s">
        <v>1004</v>
      </c>
      <c r="J8" s="337" t="s">
        <v>2343</v>
      </c>
      <c r="K8" s="335">
        <v>929530</v>
      </c>
      <c r="L8" s="335">
        <v>0</v>
      </c>
      <c r="M8" s="335">
        <v>1768000</v>
      </c>
      <c r="N8" s="335">
        <f>M8-1644240</f>
        <v>123760</v>
      </c>
      <c r="O8" s="335">
        <f t="shared" si="0"/>
        <v>714710</v>
      </c>
      <c r="P8" s="335">
        <f t="shared" si="1"/>
        <v>0</v>
      </c>
      <c r="Q8" s="405">
        <f>O8/K8</f>
        <v>0.76889395716114595</v>
      </c>
      <c r="R8" s="348">
        <v>42083</v>
      </c>
      <c r="S8" s="348">
        <v>42199</v>
      </c>
      <c r="T8" s="247"/>
      <c r="V8" s="622"/>
    </row>
    <row r="9" spans="2:22" ht="15" customHeight="1" x14ac:dyDescent="0.25">
      <c r="B9" s="245" t="s">
        <v>1026</v>
      </c>
      <c r="C9" s="248">
        <v>0</v>
      </c>
      <c r="D9" s="424">
        <f>C9/$C$34</f>
        <v>0</v>
      </c>
      <c r="E9" s="425" t="s">
        <v>2301</v>
      </c>
      <c r="F9" s="237">
        <f>'A-P_T46'!F11-EconomiaT46!C24+EconomiaT46!C5+759678</f>
        <v>893417.22791435383</v>
      </c>
      <c r="G9" s="272">
        <f>F9/$F$34</f>
        <v>1.0046714699074121E-2</v>
      </c>
      <c r="I9" s="334" t="s">
        <v>1006</v>
      </c>
      <c r="J9" s="337" t="s">
        <v>1676</v>
      </c>
      <c r="K9" s="335">
        <v>2125000</v>
      </c>
      <c r="L9" s="335">
        <v>0</v>
      </c>
      <c r="M9" s="335">
        <v>1200000</v>
      </c>
      <c r="N9" s="335">
        <f>M9-1116000</f>
        <v>84000</v>
      </c>
      <c r="O9" s="335">
        <f t="shared" si="0"/>
        <v>-1009000</v>
      </c>
      <c r="P9" s="335">
        <f t="shared" si="1"/>
        <v>0</v>
      </c>
      <c r="Q9" s="405">
        <f>O9/K9</f>
        <v>-0.4748235294117647</v>
      </c>
      <c r="R9" s="348">
        <v>41584</v>
      </c>
      <c r="S9" s="348">
        <v>42199</v>
      </c>
      <c r="T9" s="247"/>
      <c r="U9" s="378"/>
      <c r="V9" s="378"/>
    </row>
    <row r="10" spans="2:22" ht="15" customHeight="1" x14ac:dyDescent="0.25">
      <c r="B10" s="228"/>
      <c r="C10" s="227"/>
      <c r="D10" s="304"/>
      <c r="E10" s="426"/>
      <c r="F10" s="227"/>
      <c r="G10" s="271"/>
      <c r="I10" s="334" t="s">
        <v>1003</v>
      </c>
      <c r="J10" s="337" t="s">
        <v>2334</v>
      </c>
      <c r="K10" s="335">
        <v>0</v>
      </c>
      <c r="L10" s="335">
        <v>0</v>
      </c>
      <c r="M10" s="335">
        <v>1000</v>
      </c>
      <c r="N10" s="335">
        <v>50</v>
      </c>
      <c r="O10" s="335">
        <f t="shared" si="0"/>
        <v>950</v>
      </c>
      <c r="P10" s="335">
        <f t="shared" si="1"/>
        <v>0</v>
      </c>
      <c r="Q10" s="405" t="s">
        <v>1327</v>
      </c>
      <c r="R10" s="348">
        <v>42180</v>
      </c>
      <c r="S10" s="348">
        <v>42196</v>
      </c>
      <c r="T10" s="247"/>
      <c r="U10" s="572"/>
      <c r="V10" s="572"/>
    </row>
    <row r="11" spans="2:22" x14ac:dyDescent="0.25">
      <c r="B11" s="226" t="s">
        <v>481</v>
      </c>
      <c r="C11" s="242">
        <f>SUM(C12:C15)</f>
        <v>29204664</v>
      </c>
      <c r="D11" s="304">
        <f>C11/$C$34</f>
        <v>0.32841422565275208</v>
      </c>
      <c r="E11" s="226" t="s">
        <v>1677</v>
      </c>
      <c r="F11" s="242">
        <f>SUM(F12:F17)</f>
        <v>440898.00000000186</v>
      </c>
      <c r="G11" s="271">
        <f t="shared" ref="G11:G17" si="2">F11/$F$34</f>
        <v>4.9580154478698233E-3</v>
      </c>
      <c r="I11" s="334" t="s">
        <v>1004</v>
      </c>
      <c r="J11" s="337" t="s">
        <v>2380</v>
      </c>
      <c r="K11" s="335">
        <v>937000</v>
      </c>
      <c r="L11" s="335">
        <v>2028</v>
      </c>
      <c r="M11" s="335">
        <v>1150000</v>
      </c>
      <c r="N11" s="335">
        <f>M11-1027525</f>
        <v>122475</v>
      </c>
      <c r="O11" s="335">
        <f t="shared" si="0"/>
        <v>90525</v>
      </c>
      <c r="P11" s="335">
        <f t="shared" si="1"/>
        <v>0</v>
      </c>
      <c r="Q11" s="411">
        <f>O11/K11</f>
        <v>9.6611526147278554E-2</v>
      </c>
      <c r="R11" s="348">
        <v>42251</v>
      </c>
      <c r="S11" s="348">
        <v>42288</v>
      </c>
      <c r="T11" s="247"/>
      <c r="U11" s="572"/>
      <c r="V11" s="622"/>
    </row>
    <row r="12" spans="2:22" x14ac:dyDescent="0.25">
      <c r="B12" s="231" t="s">
        <v>1381</v>
      </c>
      <c r="C12" s="232">
        <f>SUMIF(I4:I554,"S",$P$4:$P$554)</f>
        <v>0</v>
      </c>
      <c r="D12" s="424">
        <f>C12/$C$34</f>
        <v>0</v>
      </c>
      <c r="E12" s="339" t="s">
        <v>1194</v>
      </c>
      <c r="F12" s="340">
        <f>SUMIF(I4:I554,"J",$O$4:$O$554)</f>
        <v>-7104445</v>
      </c>
      <c r="G12" s="272">
        <f t="shared" si="2"/>
        <v>-7.9891376369458186E-2</v>
      </c>
      <c r="I12" s="334" t="s">
        <v>1004</v>
      </c>
      <c r="J12" s="337" t="s">
        <v>2372</v>
      </c>
      <c r="K12" s="335">
        <v>902700</v>
      </c>
      <c r="L12" s="335">
        <v>4116</v>
      </c>
      <c r="M12" s="335">
        <v>1050000</v>
      </c>
      <c r="N12" s="335">
        <f>M12-948675</f>
        <v>101325</v>
      </c>
      <c r="O12" s="335">
        <f t="shared" si="0"/>
        <v>45975</v>
      </c>
      <c r="P12" s="335">
        <f t="shared" si="1"/>
        <v>0</v>
      </c>
      <c r="Q12" s="405">
        <f>O12/K12</f>
        <v>5.093054170820871E-2</v>
      </c>
      <c r="R12" s="348">
        <v>42205</v>
      </c>
      <c r="S12" s="348">
        <v>42257</v>
      </c>
      <c r="T12" s="247"/>
      <c r="U12" s="63"/>
      <c r="V12" s="622"/>
    </row>
    <row r="13" spans="2:22" ht="15" customHeight="1" x14ac:dyDescent="0.25">
      <c r="B13" s="231" t="s">
        <v>481</v>
      </c>
      <c r="C13" s="232">
        <f>SUMIF(I4:I554,"J",$P$4:$P$554)</f>
        <v>14715163</v>
      </c>
      <c r="D13" s="424">
        <f>C13/$C$34</f>
        <v>0.16547592747511247</v>
      </c>
      <c r="E13" s="339" t="s">
        <v>1382</v>
      </c>
      <c r="F13" s="340">
        <f>SUMIF(I4:I554,"S",$O$4:$O$554)</f>
        <v>0</v>
      </c>
      <c r="G13" s="272">
        <f t="shared" si="2"/>
        <v>0</v>
      </c>
      <c r="I13" s="334" t="s">
        <v>1004</v>
      </c>
      <c r="J13" s="337" t="s">
        <v>2390</v>
      </c>
      <c r="K13" s="335">
        <v>868000</v>
      </c>
      <c r="L13" s="335">
        <v>6516</v>
      </c>
      <c r="M13" s="335">
        <v>1000000</v>
      </c>
      <c r="N13" s="335">
        <v>50000</v>
      </c>
      <c r="O13" s="335">
        <f t="shared" si="0"/>
        <v>82000</v>
      </c>
      <c r="P13" s="335">
        <f t="shared" si="1"/>
        <v>0</v>
      </c>
      <c r="Q13" s="405">
        <f>O13/K13</f>
        <v>9.4470046082949302E-2</v>
      </c>
      <c r="R13" s="348">
        <v>42240</v>
      </c>
      <c r="S13" s="348">
        <v>42301</v>
      </c>
      <c r="T13" s="247"/>
    </row>
    <row r="14" spans="2:22" x14ac:dyDescent="0.25">
      <c r="B14" s="231" t="s">
        <v>819</v>
      </c>
      <c r="C14" s="232">
        <f>SUMIF(I4:I554,"E",$P$4:$P$554)</f>
        <v>14489501</v>
      </c>
      <c r="D14" s="424">
        <f>C14/$C$34</f>
        <v>0.16293829817763961</v>
      </c>
      <c r="E14" s="339" t="s">
        <v>1195</v>
      </c>
      <c r="F14" s="340">
        <f>SUMIF(I4:I554,"C",$O$4:$O$554)</f>
        <v>1538145</v>
      </c>
      <c r="G14" s="272">
        <f t="shared" si="2"/>
        <v>1.729685022627387E-2</v>
      </c>
      <c r="I14" s="334" t="s">
        <v>1004</v>
      </c>
      <c r="J14" s="337" t="s">
        <v>2393</v>
      </c>
      <c r="K14" s="335">
        <v>850000</v>
      </c>
      <c r="L14" s="335">
        <v>5292</v>
      </c>
      <c r="M14" s="335">
        <v>1000000</v>
      </c>
      <c r="N14" s="335">
        <f>M14-894300</f>
        <v>105700</v>
      </c>
      <c r="O14" s="335">
        <f t="shared" si="0"/>
        <v>44300</v>
      </c>
      <c r="P14" s="335">
        <f t="shared" si="1"/>
        <v>0</v>
      </c>
      <c r="Q14" s="405">
        <f>O14/K14</f>
        <v>5.2117647058823532E-2</v>
      </c>
      <c r="R14" s="348">
        <v>42238</v>
      </c>
      <c r="S14" s="348">
        <v>42276</v>
      </c>
      <c r="T14" s="247"/>
      <c r="V14" s="622"/>
    </row>
    <row r="15" spans="2:22" x14ac:dyDescent="0.25">
      <c r="B15" s="231" t="s">
        <v>997</v>
      </c>
      <c r="C15" s="232">
        <f>SUMIF(I4:I554,"M",$P$4:$P$554)</f>
        <v>0</v>
      </c>
      <c r="D15" s="424">
        <f>C15/$C$34</f>
        <v>0</v>
      </c>
      <c r="E15" s="339" t="s">
        <v>1196</v>
      </c>
      <c r="F15" s="340">
        <f>SUMIF(I4:I554,"E",$O$4:$O$554)</f>
        <v>6195979</v>
      </c>
      <c r="G15" s="272">
        <f t="shared" si="2"/>
        <v>6.9675434219880539E-2</v>
      </c>
      <c r="I15" s="334" t="s">
        <v>1004</v>
      </c>
      <c r="J15" s="337" t="s">
        <v>2364</v>
      </c>
      <c r="K15" s="335">
        <v>375000</v>
      </c>
      <c r="L15" s="335">
        <v>2748</v>
      </c>
      <c r="M15" s="335">
        <v>450000</v>
      </c>
      <c r="N15" s="335">
        <f>M15-404325</f>
        <v>45675</v>
      </c>
      <c r="O15" s="335">
        <f t="shared" si="0"/>
        <v>29325</v>
      </c>
      <c r="P15" s="335">
        <f t="shared" si="1"/>
        <v>0</v>
      </c>
      <c r="Q15" s="405">
        <f>O15/K15</f>
        <v>7.8200000000000006E-2</v>
      </c>
      <c r="R15" s="348">
        <v>42200</v>
      </c>
      <c r="S15" s="348">
        <v>42244</v>
      </c>
      <c r="T15" s="247"/>
      <c r="V15" s="622"/>
    </row>
    <row r="16" spans="2:22" ht="15" customHeight="1" x14ac:dyDescent="0.25">
      <c r="B16" s="235"/>
      <c r="C16" s="236"/>
      <c r="D16" s="304"/>
      <c r="E16" s="339" t="s">
        <v>1197</v>
      </c>
      <c r="F16" s="340">
        <f>SUMIF(I4:I554,"M",$O$4:$O$554)</f>
        <v>293922</v>
      </c>
      <c r="G16" s="272">
        <f t="shared" si="2"/>
        <v>3.3052311792495953E-3</v>
      </c>
      <c r="I16" s="334" t="s">
        <v>1003</v>
      </c>
      <c r="J16" s="337" t="s">
        <v>2387</v>
      </c>
      <c r="K16" s="335">
        <v>0</v>
      </c>
      <c r="L16" s="335">
        <v>0</v>
      </c>
      <c r="M16" s="335">
        <v>107100</v>
      </c>
      <c r="N16" s="335">
        <f>M16-101745</f>
        <v>5355</v>
      </c>
      <c r="O16" s="335">
        <f t="shared" si="0"/>
        <v>101745</v>
      </c>
      <c r="P16" s="335">
        <f t="shared" si="1"/>
        <v>0</v>
      </c>
      <c r="Q16" s="405" t="s">
        <v>1327</v>
      </c>
      <c r="R16" s="348">
        <v>42240</v>
      </c>
      <c r="S16" s="348">
        <v>42243</v>
      </c>
      <c r="T16" s="247"/>
    </row>
    <row r="17" spans="2:22" x14ac:dyDescent="0.25">
      <c r="B17" s="226" t="s">
        <v>48</v>
      </c>
      <c r="C17" s="260">
        <f>C18+C19</f>
        <v>48567413</v>
      </c>
      <c r="D17" s="304">
        <f>C17/$C$34</f>
        <v>0.54615349563180748</v>
      </c>
      <c r="E17" s="341" t="s">
        <v>1713</v>
      </c>
      <c r="F17" s="342">
        <f>'A-P_T47'!C9+C22-F27+EconomiaT47!C24-EconomiaT47!C5-EconomiaT47!C20</f>
        <v>-482702.99999999814</v>
      </c>
      <c r="G17" s="272">
        <f t="shared" si="2"/>
        <v>-5.4281238080759898E-3</v>
      </c>
      <c r="I17" s="334" t="s">
        <v>1004</v>
      </c>
      <c r="J17" s="337" t="s">
        <v>2368</v>
      </c>
      <c r="K17" s="335">
        <v>330999</v>
      </c>
      <c r="L17" s="335">
        <v>1716</v>
      </c>
      <c r="M17" s="335">
        <v>1000000</v>
      </c>
      <c r="N17" s="335">
        <f>M17-898500</f>
        <v>101500</v>
      </c>
      <c r="O17" s="335">
        <f t="shared" si="0"/>
        <v>567501</v>
      </c>
      <c r="P17" s="335">
        <f t="shared" si="1"/>
        <v>0</v>
      </c>
      <c r="Q17" s="405">
        <f>O17/K17</f>
        <v>1.7145097115097025</v>
      </c>
      <c r="R17" s="348">
        <v>42203</v>
      </c>
      <c r="S17" s="348">
        <v>42247</v>
      </c>
      <c r="T17" s="247"/>
      <c r="V17" s="622"/>
    </row>
    <row r="18" spans="2:22" ht="15" customHeight="1" x14ac:dyDescent="0.25">
      <c r="B18" s="231" t="s">
        <v>48</v>
      </c>
      <c r="C18" s="232">
        <f>SUM(M4:M554)</f>
        <v>53291450</v>
      </c>
      <c r="D18" s="424">
        <f>C18/$C$34</f>
        <v>0.59927654999428703</v>
      </c>
      <c r="E18" s="228"/>
      <c r="F18" s="227"/>
      <c r="G18" s="270"/>
      <c r="I18" s="187" t="s">
        <v>1006</v>
      </c>
      <c r="J18" s="336" t="s">
        <v>2408</v>
      </c>
      <c r="K18" s="333">
        <v>1000000</v>
      </c>
      <c r="L18" s="333">
        <v>31464</v>
      </c>
      <c r="M18" s="333">
        <v>0</v>
      </c>
      <c r="N18" s="333">
        <v>0</v>
      </c>
      <c r="O18" s="343">
        <f t="shared" si="0"/>
        <v>0</v>
      </c>
      <c r="P18" s="333">
        <f t="shared" si="1"/>
        <v>1000000</v>
      </c>
      <c r="Q18" s="403"/>
      <c r="R18" s="347">
        <v>42295</v>
      </c>
      <c r="S18" s="347"/>
      <c r="T18" s="247"/>
    </row>
    <row r="19" spans="2:22" ht="15" customHeight="1" x14ac:dyDescent="0.25">
      <c r="B19" s="245" t="s">
        <v>5</v>
      </c>
      <c r="C19" s="248">
        <f>SUM(N4:N554)*-1</f>
        <v>-4724037</v>
      </c>
      <c r="D19" s="424">
        <f>C19/$C$34</f>
        <v>-5.312305436247957E-2</v>
      </c>
      <c r="E19" s="226" t="s">
        <v>1034</v>
      </c>
      <c r="F19" s="260">
        <f>F20+F21</f>
        <v>45436631</v>
      </c>
      <c r="G19" s="271">
        <f>F19/$F$34</f>
        <v>0.5109470181247362</v>
      </c>
      <c r="I19" s="334" t="s">
        <v>1006</v>
      </c>
      <c r="J19" s="337" t="s">
        <v>2031</v>
      </c>
      <c r="K19" s="335">
        <v>1289748</v>
      </c>
      <c r="L19" s="335">
        <v>0</v>
      </c>
      <c r="M19" s="335">
        <v>1200000</v>
      </c>
      <c r="N19" s="335">
        <f>M19-1116000</f>
        <v>84000</v>
      </c>
      <c r="O19" s="335">
        <f t="shared" si="0"/>
        <v>-173748</v>
      </c>
      <c r="P19" s="335">
        <f t="shared" si="1"/>
        <v>0</v>
      </c>
      <c r="Q19" s="405">
        <f>O19/K19</f>
        <v>-0.13471468845076712</v>
      </c>
      <c r="R19" s="348">
        <v>42026</v>
      </c>
      <c r="S19" s="348">
        <v>42196</v>
      </c>
      <c r="T19" s="247"/>
      <c r="U19" s="247"/>
    </row>
    <row r="20" spans="2:22" ht="15" customHeight="1" x14ac:dyDescent="0.25">
      <c r="B20" s="235"/>
      <c r="C20" s="236"/>
      <c r="D20" s="424"/>
      <c r="E20" s="307" t="s">
        <v>50</v>
      </c>
      <c r="F20" s="427">
        <f>EconomiaT47!C19</f>
        <v>45869449</v>
      </c>
      <c r="G20" s="272">
        <f>F20/$F$34</f>
        <v>0.51581417182041212</v>
      </c>
      <c r="I20" s="334" t="s">
        <v>1006</v>
      </c>
      <c r="J20" s="337" t="s">
        <v>2079</v>
      </c>
      <c r="K20" s="335">
        <v>2890392</v>
      </c>
      <c r="L20" s="335">
        <v>0</v>
      </c>
      <c r="M20" s="335">
        <v>2295000</v>
      </c>
      <c r="N20" s="335">
        <f>M20-2118974</f>
        <v>176026</v>
      </c>
      <c r="O20" s="335">
        <f t="shared" si="0"/>
        <v>-771418</v>
      </c>
      <c r="P20" s="335">
        <f t="shared" si="1"/>
        <v>0</v>
      </c>
      <c r="Q20" s="405">
        <f>O20/K20</f>
        <v>-0.26689044254204963</v>
      </c>
      <c r="R20" s="348">
        <v>42104</v>
      </c>
      <c r="S20" s="348">
        <v>42196</v>
      </c>
      <c r="T20" s="247"/>
    </row>
    <row r="21" spans="2:22" ht="15" customHeight="1" x14ac:dyDescent="0.25">
      <c r="B21" s="235"/>
      <c r="C21" s="236"/>
      <c r="D21" s="304"/>
      <c r="E21" s="245" t="s">
        <v>1140</v>
      </c>
      <c r="F21" s="238">
        <f>SUM(L4:L554)*-1</f>
        <v>-432818</v>
      </c>
      <c r="G21" s="272">
        <f>F21/$F$34</f>
        <v>-4.8671536956758979E-3</v>
      </c>
      <c r="I21" s="187" t="s">
        <v>1006</v>
      </c>
      <c r="J21" s="336" t="s">
        <v>2363</v>
      </c>
      <c r="K21" s="333">
        <v>4265640</v>
      </c>
      <c r="L21" s="333">
        <v>19530</v>
      </c>
      <c r="M21" s="333">
        <v>0</v>
      </c>
      <c r="N21" s="333">
        <v>0</v>
      </c>
      <c r="O21" s="343">
        <f t="shared" si="0"/>
        <v>0</v>
      </c>
      <c r="P21" s="333">
        <f t="shared" si="1"/>
        <v>4265640</v>
      </c>
      <c r="Q21" s="403"/>
      <c r="R21" s="347">
        <v>42200</v>
      </c>
      <c r="S21" s="347"/>
      <c r="T21" s="247"/>
    </row>
    <row r="22" spans="2:22" x14ac:dyDescent="0.25">
      <c r="B22" s="226" t="s">
        <v>1328</v>
      </c>
      <c r="C22" s="242">
        <f>SUM(C23:C27)</f>
        <v>4703247</v>
      </c>
      <c r="D22" s="304">
        <f t="shared" ref="D22:D27" si="3">C22/$C$34</f>
        <v>5.2889265274842036E-2</v>
      </c>
      <c r="E22" s="228"/>
      <c r="F22" s="227"/>
      <c r="G22" s="270"/>
      <c r="I22" s="334" t="s">
        <v>1004</v>
      </c>
      <c r="J22" s="337" t="s">
        <v>2383</v>
      </c>
      <c r="K22" s="335">
        <v>663000</v>
      </c>
      <c r="L22" s="335">
        <v>4380</v>
      </c>
      <c r="M22" s="335">
        <v>750000</v>
      </c>
      <c r="N22" s="335">
        <f>M22-673875</f>
        <v>76125</v>
      </c>
      <c r="O22" s="335">
        <f t="shared" si="0"/>
        <v>10875</v>
      </c>
      <c r="P22" s="335">
        <f t="shared" si="1"/>
        <v>0</v>
      </c>
      <c r="Q22" s="411">
        <f t="shared" ref="Q22:Q34" si="4">O22/K22</f>
        <v>1.6402714932126698E-2</v>
      </c>
      <c r="R22" s="348">
        <v>42250</v>
      </c>
      <c r="S22" s="348">
        <v>42294</v>
      </c>
      <c r="T22" s="247"/>
      <c r="U22" s="247"/>
      <c r="V22" s="622"/>
    </row>
    <row r="23" spans="2:22" x14ac:dyDescent="0.25">
      <c r="B23" s="233" t="s">
        <v>42</v>
      </c>
      <c r="C23" s="234">
        <f>EconomiaT47!C11</f>
        <v>73142</v>
      </c>
      <c r="D23" s="424">
        <f t="shared" si="3"/>
        <v>8.2250127214932489E-4</v>
      </c>
      <c r="E23" s="228"/>
      <c r="F23" s="227"/>
      <c r="G23" s="270"/>
      <c r="I23" s="334" t="s">
        <v>1004</v>
      </c>
      <c r="J23" s="337" t="s">
        <v>2341</v>
      </c>
      <c r="K23" s="335">
        <v>600000</v>
      </c>
      <c r="L23" s="335">
        <v>2676</v>
      </c>
      <c r="M23" s="335">
        <v>800000</v>
      </c>
      <c r="N23" s="335">
        <f>M23-717680</f>
        <v>82320</v>
      </c>
      <c r="O23" s="335">
        <f t="shared" si="0"/>
        <v>117680</v>
      </c>
      <c r="P23" s="335">
        <f t="shared" si="1"/>
        <v>0</v>
      </c>
      <c r="Q23" s="405">
        <f t="shared" si="4"/>
        <v>0.19613333333333333</v>
      </c>
      <c r="R23" s="348">
        <v>42197</v>
      </c>
      <c r="S23" s="348">
        <v>42241</v>
      </c>
      <c r="T23" s="247"/>
      <c r="V23" s="622"/>
    </row>
    <row r="24" spans="2:22" x14ac:dyDescent="0.25">
      <c r="B24" s="233" t="s">
        <v>51</v>
      </c>
      <c r="C24" s="234">
        <f>EconomiaT47!C12</f>
        <v>0</v>
      </c>
      <c r="D24" s="424">
        <f t="shared" si="3"/>
        <v>0</v>
      </c>
      <c r="E24" s="228"/>
      <c r="F24" s="227"/>
      <c r="G24" s="270"/>
      <c r="I24" s="334" t="s">
        <v>1004</v>
      </c>
      <c r="J24" s="337" t="s">
        <v>2397</v>
      </c>
      <c r="K24" s="335">
        <v>663000</v>
      </c>
      <c r="L24" s="335">
        <v>4164</v>
      </c>
      <c r="M24" s="335">
        <v>895000</v>
      </c>
      <c r="N24" s="335">
        <f>M24-801652</f>
        <v>93348</v>
      </c>
      <c r="O24" s="335">
        <f t="shared" si="0"/>
        <v>138652</v>
      </c>
      <c r="P24" s="335">
        <f t="shared" si="1"/>
        <v>0</v>
      </c>
      <c r="Q24" s="405">
        <f t="shared" si="4"/>
        <v>0.20912820512820512</v>
      </c>
      <c r="R24" s="348">
        <v>42228</v>
      </c>
      <c r="S24" s="348">
        <v>42268</v>
      </c>
      <c r="T24" s="247"/>
      <c r="U24" s="509"/>
      <c r="V24" s="622"/>
    </row>
    <row r="25" spans="2:22" x14ac:dyDescent="0.25">
      <c r="B25" s="233" t="s">
        <v>0</v>
      </c>
      <c r="C25" s="234">
        <f>EconomiaT47!C6</f>
        <v>1973739</v>
      </c>
      <c r="D25" s="424">
        <f t="shared" si="3"/>
        <v>2.2195220781366883E-2</v>
      </c>
      <c r="E25" s="228"/>
      <c r="F25" s="227"/>
      <c r="G25" s="270"/>
      <c r="I25" s="334" t="s">
        <v>1004</v>
      </c>
      <c r="J25" s="337" t="s">
        <v>2365</v>
      </c>
      <c r="K25" s="335">
        <v>918000</v>
      </c>
      <c r="L25" s="335">
        <v>5330</v>
      </c>
      <c r="M25" s="335">
        <v>1100000</v>
      </c>
      <c r="N25" s="335">
        <f>M25-989780</f>
        <v>110220</v>
      </c>
      <c r="O25" s="335">
        <f t="shared" si="0"/>
        <v>71780</v>
      </c>
      <c r="P25" s="335">
        <f t="shared" si="1"/>
        <v>0</v>
      </c>
      <c r="Q25" s="405">
        <f t="shared" si="4"/>
        <v>7.8191721132897601E-2</v>
      </c>
      <c r="R25" s="348">
        <v>42201</v>
      </c>
      <c r="S25" s="348">
        <v>42247</v>
      </c>
      <c r="T25" s="247"/>
      <c r="U25" s="509"/>
      <c r="V25" s="622"/>
    </row>
    <row r="26" spans="2:22" ht="15" customHeight="1" x14ac:dyDescent="0.25">
      <c r="B26" s="233" t="s">
        <v>2</v>
      </c>
      <c r="C26" s="234">
        <f>EconomiaT47!C7</f>
        <v>2292934</v>
      </c>
      <c r="D26" s="424">
        <f t="shared" si="3"/>
        <v>2.5784653577348722E-2</v>
      </c>
      <c r="E26" s="226"/>
      <c r="F26" s="242"/>
      <c r="G26" s="271"/>
      <c r="I26" s="334" t="s">
        <v>1006</v>
      </c>
      <c r="J26" s="337" t="s">
        <v>2073</v>
      </c>
      <c r="K26" s="335">
        <v>1572908</v>
      </c>
      <c r="L26" s="335">
        <v>0</v>
      </c>
      <c r="M26" s="335">
        <v>1224000</v>
      </c>
      <c r="N26" s="335">
        <f>M26-1138320</f>
        <v>85680</v>
      </c>
      <c r="O26" s="335">
        <f t="shared" si="0"/>
        <v>-434588</v>
      </c>
      <c r="P26" s="335">
        <f t="shared" si="1"/>
        <v>0</v>
      </c>
      <c r="Q26" s="405">
        <f t="shared" si="4"/>
        <v>-0.27629587998789501</v>
      </c>
      <c r="R26" s="348">
        <v>42089</v>
      </c>
      <c r="S26" s="348">
        <v>42203</v>
      </c>
      <c r="T26" s="247"/>
      <c r="U26" s="509"/>
    </row>
    <row r="27" spans="2:22" ht="15" customHeight="1" x14ac:dyDescent="0.25">
      <c r="B27" s="233" t="s">
        <v>5</v>
      </c>
      <c r="C27" s="234">
        <f>EconomiaT47!C10</f>
        <v>363432</v>
      </c>
      <c r="D27" s="424">
        <f t="shared" si="3"/>
        <v>4.0868896439771058E-3</v>
      </c>
      <c r="E27" s="226" t="s">
        <v>1601</v>
      </c>
      <c r="F27" s="242">
        <f>SUM(F28:F33)</f>
        <v>5616417</v>
      </c>
      <c r="G27" s="271">
        <f t="shared" ref="G27:G33" si="5">F27/$F$34</f>
        <v>6.3158105157380101E-2</v>
      </c>
      <c r="I27" s="334" t="s">
        <v>1005</v>
      </c>
      <c r="J27" s="337" t="s">
        <v>2249</v>
      </c>
      <c r="K27" s="335">
        <v>282980</v>
      </c>
      <c r="L27" s="335">
        <v>0</v>
      </c>
      <c r="M27" s="335">
        <v>380000</v>
      </c>
      <c r="N27" s="335">
        <f>M27-340898</f>
        <v>39102</v>
      </c>
      <c r="O27" s="335">
        <f t="shared" si="0"/>
        <v>57918</v>
      </c>
      <c r="P27" s="335">
        <f t="shared" si="1"/>
        <v>0</v>
      </c>
      <c r="Q27" s="405">
        <f t="shared" si="4"/>
        <v>0.20467170824793271</v>
      </c>
      <c r="R27" s="348">
        <v>42156</v>
      </c>
      <c r="S27" s="348">
        <v>42199</v>
      </c>
      <c r="T27" s="129"/>
      <c r="U27" s="509"/>
    </row>
    <row r="28" spans="2:22" ht="15" customHeight="1" x14ac:dyDescent="0.25">
      <c r="B28" s="226"/>
      <c r="C28" s="242"/>
      <c r="D28" s="304"/>
      <c r="E28" s="307" t="s">
        <v>882</v>
      </c>
      <c r="F28" s="428">
        <f>EconomiaT47!C14</f>
        <v>3394833</v>
      </c>
      <c r="G28" s="272">
        <f t="shared" si="5"/>
        <v>3.8175801334862446E-2</v>
      </c>
      <c r="I28" s="334" t="s">
        <v>1006</v>
      </c>
      <c r="J28" s="337" t="s">
        <v>2026</v>
      </c>
      <c r="K28" s="335">
        <v>1329024</v>
      </c>
      <c r="L28" s="335">
        <v>0</v>
      </c>
      <c r="M28" s="335">
        <v>1099560</v>
      </c>
      <c r="N28" s="335">
        <f>M28-1022591</f>
        <v>76969</v>
      </c>
      <c r="O28" s="335">
        <f t="shared" si="0"/>
        <v>-306433</v>
      </c>
      <c r="P28" s="335">
        <f t="shared" si="1"/>
        <v>0</v>
      </c>
      <c r="Q28" s="405">
        <f t="shared" si="4"/>
        <v>-0.23056995208513917</v>
      </c>
      <c r="R28" s="348">
        <v>42017</v>
      </c>
      <c r="S28" s="348">
        <v>42196</v>
      </c>
      <c r="T28" s="247"/>
      <c r="U28" s="509"/>
    </row>
    <row r="29" spans="2:22" x14ac:dyDescent="0.25">
      <c r="B29" s="226" t="s">
        <v>1200</v>
      </c>
      <c r="C29" s="242">
        <f>EconomiaT47!S24</f>
        <v>1879587.2279143557</v>
      </c>
      <c r="D29" s="304">
        <f>C29/$C$34</f>
        <v>2.1136459025938321E-2</v>
      </c>
      <c r="E29" s="307" t="s">
        <v>29</v>
      </c>
      <c r="F29" s="428">
        <f>EconomiaT47!C15</f>
        <v>665584</v>
      </c>
      <c r="G29" s="272">
        <f t="shared" si="5"/>
        <v>7.4846693653746995E-3</v>
      </c>
      <c r="I29" s="334" t="s">
        <v>1004</v>
      </c>
      <c r="J29" s="337" t="s">
        <v>2385</v>
      </c>
      <c r="K29" s="335">
        <v>862000</v>
      </c>
      <c r="L29" s="335">
        <v>4164</v>
      </c>
      <c r="M29" s="335">
        <v>1043460</v>
      </c>
      <c r="N29" s="335">
        <f>M29-937549</f>
        <v>105911</v>
      </c>
      <c r="O29" s="335">
        <f t="shared" si="0"/>
        <v>75549</v>
      </c>
      <c r="P29" s="335">
        <f t="shared" si="1"/>
        <v>0</v>
      </c>
      <c r="Q29" s="411">
        <f t="shared" si="4"/>
        <v>8.7643851508120652E-2</v>
      </c>
      <c r="R29" s="348">
        <v>42250</v>
      </c>
      <c r="S29" s="348">
        <v>42294</v>
      </c>
      <c r="T29" s="247"/>
      <c r="U29" s="509"/>
      <c r="V29" s="622"/>
    </row>
    <row r="30" spans="2:22" ht="15" customHeight="1" x14ac:dyDescent="0.25">
      <c r="B30" s="226"/>
      <c r="C30" s="242"/>
      <c r="D30" s="304"/>
      <c r="E30" s="307" t="s">
        <v>6</v>
      </c>
      <c r="F30" s="428">
        <f>EconomiaT47!C17</f>
        <v>978000</v>
      </c>
      <c r="G30" s="272">
        <f t="shared" si="5"/>
        <v>1.0997870500697818E-2</v>
      </c>
      <c r="I30" s="334" t="s">
        <v>1006</v>
      </c>
      <c r="J30" s="337" t="s">
        <v>1822</v>
      </c>
      <c r="K30" s="335">
        <v>3182496</v>
      </c>
      <c r="L30" s="335">
        <v>0</v>
      </c>
      <c r="M30" s="335">
        <v>1530000</v>
      </c>
      <c r="N30" s="335">
        <f>M30-1422900</f>
        <v>107100</v>
      </c>
      <c r="O30" s="335">
        <f t="shared" si="0"/>
        <v>-1759596</v>
      </c>
      <c r="P30" s="335">
        <f t="shared" si="1"/>
        <v>0</v>
      </c>
      <c r="Q30" s="405">
        <f t="shared" si="4"/>
        <v>-0.55289810262133876</v>
      </c>
      <c r="R30" s="348">
        <v>41769</v>
      </c>
      <c r="S30" s="348">
        <v>42198</v>
      </c>
      <c r="T30" s="508"/>
      <c r="U30" s="509"/>
    </row>
    <row r="31" spans="2:22" x14ac:dyDescent="0.25">
      <c r="B31" s="226"/>
      <c r="C31" s="242"/>
      <c r="D31" s="304"/>
      <c r="E31" s="307" t="s">
        <v>8</v>
      </c>
      <c r="F31" s="428">
        <f>EconomiaT47!C18</f>
        <v>320000</v>
      </c>
      <c r="G31" s="272">
        <f t="shared" si="5"/>
        <v>3.598485235402149E-3</v>
      </c>
      <c r="I31" s="334" t="s">
        <v>1004</v>
      </c>
      <c r="J31" s="337" t="s">
        <v>2396</v>
      </c>
      <c r="K31" s="335">
        <v>704000</v>
      </c>
      <c r="L31" s="335">
        <v>2148</v>
      </c>
      <c r="M31" s="335">
        <v>765000</v>
      </c>
      <c r="N31" s="335">
        <f>M31-693396</f>
        <v>71604</v>
      </c>
      <c r="O31" s="335">
        <f t="shared" si="0"/>
        <v>-10604</v>
      </c>
      <c r="P31" s="335">
        <f t="shared" si="1"/>
        <v>0</v>
      </c>
      <c r="Q31" s="411">
        <f t="shared" si="4"/>
        <v>-1.50625E-2</v>
      </c>
      <c r="R31" s="348">
        <v>42237</v>
      </c>
      <c r="S31" s="348">
        <v>42294</v>
      </c>
      <c r="T31" s="508"/>
      <c r="U31" s="509"/>
      <c r="V31" s="622"/>
    </row>
    <row r="32" spans="2:22" ht="15" customHeight="1" x14ac:dyDescent="0.25">
      <c r="B32" s="226"/>
      <c r="C32" s="242"/>
      <c r="D32" s="304"/>
      <c r="E32" s="307" t="s">
        <v>818</v>
      </c>
      <c r="F32" s="428">
        <f>EconomiaT47!C21</f>
        <v>258000</v>
      </c>
      <c r="G32" s="272">
        <f t="shared" si="5"/>
        <v>2.9012787210429825E-3</v>
      </c>
      <c r="I32" s="334" t="s">
        <v>1006</v>
      </c>
      <c r="J32" s="337" t="s">
        <v>2228</v>
      </c>
      <c r="K32" s="335">
        <v>1734608</v>
      </c>
      <c r="L32" s="335">
        <v>0</v>
      </c>
      <c r="M32" s="335">
        <v>1999995</v>
      </c>
      <c r="N32" s="335">
        <f>M32-1806996</f>
        <v>192999</v>
      </c>
      <c r="O32" s="335">
        <f t="shared" si="0"/>
        <v>72388</v>
      </c>
      <c r="P32" s="335">
        <f t="shared" si="1"/>
        <v>0</v>
      </c>
      <c r="Q32" s="405">
        <f t="shared" si="4"/>
        <v>4.1731618901792222E-2</v>
      </c>
      <c r="R32" s="348">
        <v>42147</v>
      </c>
      <c r="S32" s="348">
        <v>42199</v>
      </c>
      <c r="T32" s="508"/>
      <c r="U32" s="509"/>
    </row>
    <row r="33" spans="2:22" x14ac:dyDescent="0.25">
      <c r="B33" s="230"/>
      <c r="C33" s="229"/>
      <c r="D33" s="304"/>
      <c r="E33" s="431" t="s">
        <v>10</v>
      </c>
      <c r="F33" s="432">
        <f>EconomiaT47!C22</f>
        <v>0</v>
      </c>
      <c r="G33" s="430">
        <f t="shared" si="5"/>
        <v>0</v>
      </c>
      <c r="I33" s="334" t="s">
        <v>1004</v>
      </c>
      <c r="J33" s="337" t="s">
        <v>2338</v>
      </c>
      <c r="K33" s="335">
        <v>515100</v>
      </c>
      <c r="L33" s="335">
        <v>1670</v>
      </c>
      <c r="M33" s="335">
        <v>953000</v>
      </c>
      <c r="N33" s="335">
        <f>M33-855603</f>
        <v>97397</v>
      </c>
      <c r="O33" s="335">
        <f t="shared" si="0"/>
        <v>340503</v>
      </c>
      <c r="P33" s="335">
        <f t="shared" si="1"/>
        <v>0</v>
      </c>
      <c r="Q33" s="405">
        <f t="shared" si="4"/>
        <v>0.66104251601630748</v>
      </c>
      <c r="R33" s="348">
        <v>42197</v>
      </c>
      <c r="S33" s="348">
        <v>42241</v>
      </c>
      <c r="T33" s="508"/>
      <c r="U33" s="509"/>
      <c r="V33" s="622"/>
    </row>
    <row r="34" spans="2:22" ht="18.75" x14ac:dyDescent="0.3">
      <c r="B34" s="239" t="s">
        <v>291</v>
      </c>
      <c r="C34" s="240">
        <f>C22+C17+C11+C6+C29</f>
        <v>88926306.227914363</v>
      </c>
      <c r="D34" s="43">
        <f>C34/$C$34</f>
        <v>1</v>
      </c>
      <c r="E34" s="366" t="s">
        <v>291</v>
      </c>
      <c r="F34" s="367">
        <f>F27+F19+F11+F6</f>
        <v>88926306.227914363</v>
      </c>
      <c r="G34" s="43">
        <f>F34/$F$34</f>
        <v>1</v>
      </c>
      <c r="I34" s="334" t="s">
        <v>1004</v>
      </c>
      <c r="J34" s="337" t="s">
        <v>2384</v>
      </c>
      <c r="K34" s="335">
        <v>806000</v>
      </c>
      <c r="L34" s="335">
        <v>2964</v>
      </c>
      <c r="M34" s="335">
        <v>950000</v>
      </c>
      <c r="N34" s="335">
        <f>M34-852910</f>
        <v>97090</v>
      </c>
      <c r="O34" s="335">
        <f t="shared" si="0"/>
        <v>46910</v>
      </c>
      <c r="P34" s="335">
        <f t="shared" si="1"/>
        <v>0</v>
      </c>
      <c r="Q34" s="411">
        <f t="shared" si="4"/>
        <v>5.8200992555831263E-2</v>
      </c>
      <c r="R34" s="348">
        <v>42250</v>
      </c>
      <c r="S34" s="348">
        <v>42294</v>
      </c>
      <c r="T34" s="508"/>
      <c r="U34" s="509"/>
      <c r="V34" s="622"/>
    </row>
    <row r="35" spans="2:22" ht="15" customHeight="1" x14ac:dyDescent="0.25">
      <c r="F35" s="417">
        <f>F34-C34</f>
        <v>0</v>
      </c>
      <c r="I35" s="187" t="s">
        <v>1004</v>
      </c>
      <c r="J35" s="336" t="s">
        <v>2409</v>
      </c>
      <c r="K35" s="333">
        <v>2540000</v>
      </c>
      <c r="L35" s="333">
        <v>28848</v>
      </c>
      <c r="M35" s="333">
        <v>0</v>
      </c>
      <c r="N35" s="333">
        <v>0</v>
      </c>
      <c r="O35" s="343">
        <f t="shared" si="0"/>
        <v>0</v>
      </c>
      <c r="P35" s="333">
        <f t="shared" si="1"/>
        <v>2540000</v>
      </c>
      <c r="Q35" s="403"/>
      <c r="R35" s="347">
        <v>42278</v>
      </c>
      <c r="S35" s="347"/>
      <c r="T35" s="508"/>
      <c r="U35" s="509"/>
    </row>
    <row r="36" spans="2:22" ht="15" customHeight="1" x14ac:dyDescent="0.25">
      <c r="I36" s="334" t="s">
        <v>1005</v>
      </c>
      <c r="J36" s="337" t="s">
        <v>2254</v>
      </c>
      <c r="K36" s="335">
        <v>702676</v>
      </c>
      <c r="L36" s="335">
        <v>0</v>
      </c>
      <c r="M36" s="335">
        <v>884340</v>
      </c>
      <c r="N36" s="335">
        <f>M36-794580</f>
        <v>89760</v>
      </c>
      <c r="O36" s="335">
        <f t="shared" ref="O36:O67" si="6">IF(M36=0,0,M36-K36)-N36</f>
        <v>91904</v>
      </c>
      <c r="P36" s="335">
        <f t="shared" ref="P36:P67" si="7">IF(M36=0,K36,0)</f>
        <v>0</v>
      </c>
      <c r="Q36" s="405">
        <f t="shared" ref="Q36:Q42" si="8">O36/K36</f>
        <v>0.13079143161286283</v>
      </c>
      <c r="R36" s="348">
        <v>42156</v>
      </c>
      <c r="S36" s="348">
        <v>42203</v>
      </c>
      <c r="T36" s="508"/>
      <c r="U36" s="509"/>
    </row>
    <row r="37" spans="2:22" ht="15" customHeight="1" x14ac:dyDescent="0.25">
      <c r="I37" s="334" t="s">
        <v>1006</v>
      </c>
      <c r="J37" s="337" t="s">
        <v>2101</v>
      </c>
      <c r="K37" s="335">
        <v>1055436</v>
      </c>
      <c r="L37" s="335">
        <v>0</v>
      </c>
      <c r="M37" s="335">
        <v>1450000</v>
      </c>
      <c r="N37" s="335">
        <f>M37-1326460</f>
        <v>123540</v>
      </c>
      <c r="O37" s="335">
        <f t="shared" si="6"/>
        <v>271024</v>
      </c>
      <c r="P37" s="335">
        <f t="shared" si="7"/>
        <v>0</v>
      </c>
      <c r="Q37" s="405">
        <f t="shared" si="8"/>
        <v>0.25678866364232411</v>
      </c>
      <c r="R37" s="348">
        <v>42123</v>
      </c>
      <c r="S37" s="348">
        <v>42196</v>
      </c>
      <c r="T37" s="508"/>
      <c r="U37" s="509"/>
    </row>
    <row r="38" spans="2:22" x14ac:dyDescent="0.25">
      <c r="H38" s="225"/>
      <c r="I38" s="334" t="s">
        <v>1004</v>
      </c>
      <c r="J38" s="337" t="s">
        <v>2386</v>
      </c>
      <c r="K38" s="335">
        <v>500000</v>
      </c>
      <c r="L38" s="335">
        <v>1932</v>
      </c>
      <c r="M38" s="335">
        <v>695000</v>
      </c>
      <c r="N38" s="335">
        <f>M38-624458</f>
        <v>70542</v>
      </c>
      <c r="O38" s="335">
        <f t="shared" si="6"/>
        <v>124458</v>
      </c>
      <c r="P38" s="335">
        <f t="shared" si="7"/>
        <v>0</v>
      </c>
      <c r="Q38" s="411">
        <f t="shared" si="8"/>
        <v>0.248916</v>
      </c>
      <c r="R38" s="348">
        <v>42247</v>
      </c>
      <c r="S38" s="348">
        <v>42291</v>
      </c>
      <c r="T38" s="508"/>
      <c r="U38" s="509"/>
      <c r="V38" s="622"/>
    </row>
    <row r="39" spans="2:22" ht="15" customHeight="1" x14ac:dyDescent="0.25">
      <c r="I39" s="334" t="s">
        <v>1005</v>
      </c>
      <c r="J39" s="337" t="s">
        <v>2250</v>
      </c>
      <c r="K39" s="335">
        <v>95684</v>
      </c>
      <c r="L39" s="335">
        <v>0</v>
      </c>
      <c r="M39" s="335">
        <v>150000</v>
      </c>
      <c r="N39" s="335">
        <f>M39-134250</f>
        <v>15750</v>
      </c>
      <c r="O39" s="335">
        <f t="shared" si="6"/>
        <v>38566</v>
      </c>
      <c r="P39" s="335">
        <f t="shared" si="7"/>
        <v>0</v>
      </c>
      <c r="Q39" s="405">
        <f t="shared" si="8"/>
        <v>0.4030558923121943</v>
      </c>
      <c r="R39" s="348">
        <v>42156</v>
      </c>
      <c r="S39" s="348">
        <v>42196</v>
      </c>
      <c r="T39" s="508"/>
      <c r="U39" s="509"/>
    </row>
    <row r="40" spans="2:22" x14ac:dyDescent="0.25">
      <c r="C40" s="129"/>
      <c r="E40" s="30"/>
      <c r="I40" s="334" t="s">
        <v>1004</v>
      </c>
      <c r="J40" s="337" t="s">
        <v>2392</v>
      </c>
      <c r="K40" s="335">
        <v>600000</v>
      </c>
      <c r="L40" s="335">
        <v>1932</v>
      </c>
      <c r="M40" s="335">
        <v>750000</v>
      </c>
      <c r="N40" s="335">
        <f>M40-672300</f>
        <v>77700</v>
      </c>
      <c r="O40" s="335">
        <f t="shared" si="6"/>
        <v>72300</v>
      </c>
      <c r="P40" s="335">
        <f t="shared" si="7"/>
        <v>0</v>
      </c>
      <c r="Q40" s="411">
        <f t="shared" si="8"/>
        <v>0.1205</v>
      </c>
      <c r="R40" s="348">
        <v>42240</v>
      </c>
      <c r="S40" s="348">
        <v>42280</v>
      </c>
      <c r="T40" s="508"/>
      <c r="U40" s="509"/>
      <c r="V40" s="622"/>
    </row>
    <row r="41" spans="2:22" x14ac:dyDescent="0.25">
      <c r="E41" s="30"/>
      <c r="I41" s="334" t="s">
        <v>1004</v>
      </c>
      <c r="J41" s="337" t="s">
        <v>2374</v>
      </c>
      <c r="K41" s="335">
        <v>364000</v>
      </c>
      <c r="L41" s="335">
        <v>2210</v>
      </c>
      <c r="M41" s="335">
        <f>612000</f>
        <v>612000</v>
      </c>
      <c r="N41" s="335">
        <f>M41-550678</f>
        <v>61322</v>
      </c>
      <c r="O41" s="335">
        <f t="shared" si="6"/>
        <v>186678</v>
      </c>
      <c r="P41" s="335">
        <f t="shared" si="7"/>
        <v>0</v>
      </c>
      <c r="Q41" s="405">
        <f t="shared" si="8"/>
        <v>0.51285164835164831</v>
      </c>
      <c r="R41" s="348">
        <v>42205</v>
      </c>
      <c r="S41" s="348">
        <v>42251</v>
      </c>
      <c r="T41" s="508"/>
      <c r="U41" s="509"/>
      <c r="V41" s="622"/>
    </row>
    <row r="42" spans="2:22" x14ac:dyDescent="0.25">
      <c r="I42" s="334" t="s">
        <v>1004</v>
      </c>
      <c r="J42" s="337" t="s">
        <v>2394</v>
      </c>
      <c r="K42" s="335">
        <v>663000</v>
      </c>
      <c r="L42" s="335">
        <v>3036</v>
      </c>
      <c r="M42" s="335">
        <v>699995</v>
      </c>
      <c r="N42" s="335">
        <f>M42-632866</f>
        <v>67129</v>
      </c>
      <c r="O42" s="335">
        <f t="shared" si="6"/>
        <v>-30134</v>
      </c>
      <c r="P42" s="335">
        <f t="shared" si="7"/>
        <v>0</v>
      </c>
      <c r="Q42" s="411">
        <f t="shared" si="8"/>
        <v>-4.5450980392156864E-2</v>
      </c>
      <c r="R42" s="348">
        <v>42238</v>
      </c>
      <c r="S42" s="348">
        <v>42291</v>
      </c>
      <c r="T42" s="508"/>
      <c r="U42" s="633"/>
      <c r="V42" s="622"/>
    </row>
    <row r="43" spans="2:22" ht="14.25" customHeight="1" x14ac:dyDescent="0.25">
      <c r="I43" s="187" t="s">
        <v>1004</v>
      </c>
      <c r="J43" s="336" t="s">
        <v>2381</v>
      </c>
      <c r="K43" s="333">
        <v>872000</v>
      </c>
      <c r="L43" s="333">
        <v>5820</v>
      </c>
      <c r="M43" s="333">
        <v>0</v>
      </c>
      <c r="N43" s="333">
        <v>0</v>
      </c>
      <c r="O43" s="343">
        <f t="shared" si="6"/>
        <v>0</v>
      </c>
      <c r="P43" s="333">
        <f t="shared" si="7"/>
        <v>872000</v>
      </c>
      <c r="Q43" s="403"/>
      <c r="R43" s="347">
        <v>42251</v>
      </c>
      <c r="S43" s="347"/>
      <c r="T43" s="508"/>
      <c r="U43" s="633"/>
    </row>
    <row r="44" spans="2:22" s="2" customFormat="1" x14ac:dyDescent="0.25">
      <c r="B44" s="212"/>
      <c r="C44" s="212"/>
      <c r="D44" s="212"/>
      <c r="F44" s="212"/>
      <c r="G44" s="212"/>
      <c r="I44" s="334" t="s">
        <v>1004</v>
      </c>
      <c r="J44" s="337" t="s">
        <v>2370</v>
      </c>
      <c r="K44" s="335">
        <v>426000</v>
      </c>
      <c r="L44" s="335">
        <v>2556</v>
      </c>
      <c r="M44" s="335">
        <v>575000</v>
      </c>
      <c r="N44" s="335">
        <f>M44-515833</f>
        <v>59167</v>
      </c>
      <c r="O44" s="335">
        <f t="shared" si="6"/>
        <v>89833</v>
      </c>
      <c r="P44" s="335">
        <f t="shared" si="7"/>
        <v>0</v>
      </c>
      <c r="Q44" s="405">
        <f>O44/K44</f>
        <v>0.21087558685446009</v>
      </c>
      <c r="R44" s="348">
        <v>42205</v>
      </c>
      <c r="S44" s="348">
        <v>42247</v>
      </c>
      <c r="T44" s="508"/>
      <c r="U44" s="633"/>
      <c r="V44" s="622"/>
    </row>
    <row r="45" spans="2:22" ht="15" customHeight="1" x14ac:dyDescent="0.25">
      <c r="I45" s="334" t="s">
        <v>1006</v>
      </c>
      <c r="J45" s="337" t="s">
        <v>1935</v>
      </c>
      <c r="K45" s="335">
        <v>2600000</v>
      </c>
      <c r="L45" s="335">
        <v>0</v>
      </c>
      <c r="M45" s="335">
        <v>1300000</v>
      </c>
      <c r="N45" s="335">
        <f>M45-1209000</f>
        <v>91000</v>
      </c>
      <c r="O45" s="335">
        <f t="shared" si="6"/>
        <v>-1391000</v>
      </c>
      <c r="P45" s="335">
        <f t="shared" si="7"/>
        <v>0</v>
      </c>
      <c r="Q45" s="405">
        <f>O45/K45</f>
        <v>-0.53500000000000003</v>
      </c>
      <c r="R45" s="348">
        <v>41919</v>
      </c>
      <c r="S45" s="348">
        <v>42196</v>
      </c>
      <c r="T45" s="508"/>
      <c r="U45" s="633"/>
    </row>
    <row r="46" spans="2:22" ht="15" customHeight="1" x14ac:dyDescent="0.25">
      <c r="I46" s="187" t="s">
        <v>1006</v>
      </c>
      <c r="J46" s="336" t="s">
        <v>2404</v>
      </c>
      <c r="K46" s="333">
        <v>692479</v>
      </c>
      <c r="L46" s="333">
        <v>26784</v>
      </c>
      <c r="M46" s="333">
        <v>0</v>
      </c>
      <c r="N46" s="333">
        <v>0</v>
      </c>
      <c r="O46" s="343">
        <f t="shared" si="6"/>
        <v>0</v>
      </c>
      <c r="P46" s="333">
        <f t="shared" si="7"/>
        <v>692479</v>
      </c>
      <c r="Q46" s="403"/>
      <c r="R46" s="347">
        <v>42275</v>
      </c>
      <c r="S46" s="347"/>
      <c r="T46" s="508"/>
      <c r="U46" s="633"/>
    </row>
    <row r="47" spans="2:22" x14ac:dyDescent="0.25">
      <c r="E47" s="225"/>
      <c r="I47" s="334" t="s">
        <v>1004</v>
      </c>
      <c r="J47" s="337" t="s">
        <v>1994</v>
      </c>
      <c r="K47" s="335">
        <v>1704835</v>
      </c>
      <c r="L47" s="335">
        <v>0</v>
      </c>
      <c r="M47" s="335">
        <v>3755000</v>
      </c>
      <c r="N47" s="335">
        <f>M47-3492150</f>
        <v>262850</v>
      </c>
      <c r="O47" s="335">
        <f t="shared" si="6"/>
        <v>1787315</v>
      </c>
      <c r="P47" s="335">
        <f t="shared" si="7"/>
        <v>0</v>
      </c>
      <c r="Q47" s="405">
        <f>O47/K47</f>
        <v>1.0483800485090933</v>
      </c>
      <c r="R47" s="348">
        <v>41974</v>
      </c>
      <c r="S47" s="348">
        <v>42199</v>
      </c>
      <c r="T47" s="508"/>
      <c r="U47" s="633"/>
      <c r="V47" s="622"/>
    </row>
    <row r="48" spans="2:22" x14ac:dyDescent="0.25">
      <c r="I48" s="334" t="s">
        <v>1004</v>
      </c>
      <c r="J48" s="337" t="s">
        <v>2371</v>
      </c>
      <c r="K48" s="335">
        <v>441660</v>
      </c>
      <c r="L48" s="335">
        <v>2076</v>
      </c>
      <c r="M48" s="335">
        <v>595000</v>
      </c>
      <c r="N48" s="335">
        <f>M48-531216</f>
        <v>63784</v>
      </c>
      <c r="O48" s="335">
        <f t="shared" si="6"/>
        <v>89556</v>
      </c>
      <c r="P48" s="335">
        <f t="shared" si="7"/>
        <v>0</v>
      </c>
      <c r="Q48" s="405">
        <f>O48/K48</f>
        <v>0.20277136258660508</v>
      </c>
      <c r="R48" s="348">
        <v>42205</v>
      </c>
      <c r="S48" s="348">
        <v>42241</v>
      </c>
      <c r="T48" s="508"/>
      <c r="U48" s="633"/>
      <c r="V48" s="622"/>
    </row>
    <row r="49" spans="9:22" ht="15" customHeight="1" x14ac:dyDescent="0.25">
      <c r="I49" s="187" t="s">
        <v>1006</v>
      </c>
      <c r="J49" s="336" t="s">
        <v>2405</v>
      </c>
      <c r="K49" s="333">
        <v>1224000</v>
      </c>
      <c r="L49" s="333">
        <v>43572</v>
      </c>
      <c r="M49" s="333">
        <v>0</v>
      </c>
      <c r="N49" s="333">
        <v>0</v>
      </c>
      <c r="O49" s="343">
        <f t="shared" si="6"/>
        <v>0</v>
      </c>
      <c r="P49" s="333">
        <f t="shared" si="7"/>
        <v>1224000</v>
      </c>
      <c r="Q49" s="403"/>
      <c r="R49" s="347">
        <v>42288</v>
      </c>
      <c r="S49" s="347"/>
      <c r="T49" s="508"/>
      <c r="U49" s="633"/>
    </row>
    <row r="50" spans="9:22" x14ac:dyDescent="0.25">
      <c r="I50" s="334" t="s">
        <v>1004</v>
      </c>
      <c r="J50" s="337" t="s">
        <v>2388</v>
      </c>
      <c r="K50" s="335">
        <v>500000</v>
      </c>
      <c r="L50" s="335">
        <v>2610</v>
      </c>
      <c r="M50" s="335">
        <v>675000</v>
      </c>
      <c r="N50" s="335">
        <f>M50-610673</f>
        <v>64327</v>
      </c>
      <c r="O50" s="335">
        <f t="shared" si="6"/>
        <v>110673</v>
      </c>
      <c r="P50" s="335">
        <f t="shared" si="7"/>
        <v>0</v>
      </c>
      <c r="Q50" s="411">
        <f>O50/K50</f>
        <v>0.22134599999999999</v>
      </c>
      <c r="R50" s="348">
        <v>42240</v>
      </c>
      <c r="S50" s="348">
        <v>42294</v>
      </c>
      <c r="T50" s="508"/>
      <c r="U50" s="633"/>
      <c r="V50" s="622"/>
    </row>
    <row r="51" spans="9:22" ht="15" customHeight="1" x14ac:dyDescent="0.25">
      <c r="I51" s="187" t="s">
        <v>1006</v>
      </c>
      <c r="J51" s="336" t="s">
        <v>2356</v>
      </c>
      <c r="K51" s="333">
        <v>239700</v>
      </c>
      <c r="L51" s="333">
        <v>310</v>
      </c>
      <c r="M51" s="333">
        <v>0</v>
      </c>
      <c r="N51" s="333">
        <v>0</v>
      </c>
      <c r="O51" s="343">
        <f t="shared" si="6"/>
        <v>0</v>
      </c>
      <c r="P51" s="333">
        <f t="shared" si="7"/>
        <v>239700</v>
      </c>
      <c r="Q51" s="403"/>
      <c r="R51" s="347">
        <v>42200</v>
      </c>
      <c r="S51" s="347"/>
      <c r="T51" s="508"/>
      <c r="U51" s="509"/>
    </row>
    <row r="52" spans="9:22" x14ac:dyDescent="0.25">
      <c r="I52" s="334" t="s">
        <v>1004</v>
      </c>
      <c r="J52" s="337" t="s">
        <v>2354</v>
      </c>
      <c r="K52" s="335">
        <v>665000</v>
      </c>
      <c r="L52" s="335">
        <v>3924</v>
      </c>
      <c r="M52" s="335">
        <v>875000</v>
      </c>
      <c r="N52" s="335">
        <f>M52-785575</f>
        <v>89425</v>
      </c>
      <c r="O52" s="335">
        <f t="shared" si="6"/>
        <v>120575</v>
      </c>
      <c r="P52" s="335">
        <f t="shared" si="7"/>
        <v>0</v>
      </c>
      <c r="Q52" s="405">
        <f>O52/K52</f>
        <v>0.18131578947368421</v>
      </c>
      <c r="R52" s="348">
        <v>42199</v>
      </c>
      <c r="S52" s="348">
        <v>42242</v>
      </c>
      <c r="T52" s="508"/>
      <c r="U52" s="509"/>
      <c r="V52" s="622"/>
    </row>
    <row r="53" spans="9:22" x14ac:dyDescent="0.25">
      <c r="I53" s="334" t="s">
        <v>1004</v>
      </c>
      <c r="J53" s="337" t="s">
        <v>2375</v>
      </c>
      <c r="K53" s="335">
        <v>619141</v>
      </c>
      <c r="L53" s="335">
        <v>3324</v>
      </c>
      <c r="M53" s="335">
        <v>700000</v>
      </c>
      <c r="N53" s="335">
        <f>M53-629860</f>
        <v>70140</v>
      </c>
      <c r="O53" s="335">
        <f t="shared" si="6"/>
        <v>10719</v>
      </c>
      <c r="P53" s="335">
        <f t="shared" si="7"/>
        <v>0</v>
      </c>
      <c r="Q53" s="405">
        <f>O53/K53</f>
        <v>1.7312696138682464E-2</v>
      </c>
      <c r="R53" s="348">
        <v>42205</v>
      </c>
      <c r="S53" s="348">
        <v>42251</v>
      </c>
      <c r="U53" s="509"/>
      <c r="V53" s="622"/>
    </row>
    <row r="54" spans="9:22" x14ac:dyDescent="0.25">
      <c r="I54" s="334" t="s">
        <v>1004</v>
      </c>
      <c r="J54" s="337" t="s">
        <v>2336</v>
      </c>
      <c r="K54" s="335">
        <v>312500</v>
      </c>
      <c r="L54" s="335">
        <v>1620</v>
      </c>
      <c r="M54" s="335">
        <v>475000</v>
      </c>
      <c r="N54" s="335">
        <f>M54-427405</f>
        <v>47595</v>
      </c>
      <c r="O54" s="335">
        <f t="shared" si="6"/>
        <v>114905</v>
      </c>
      <c r="P54" s="335">
        <f t="shared" si="7"/>
        <v>0</v>
      </c>
      <c r="Q54" s="405">
        <f>O54/K54</f>
        <v>0.36769600000000002</v>
      </c>
      <c r="R54" s="348">
        <v>42196</v>
      </c>
      <c r="S54" s="348">
        <v>42242</v>
      </c>
      <c r="U54" s="509"/>
      <c r="V54" s="622"/>
    </row>
    <row r="55" spans="9:22" ht="15" customHeight="1" x14ac:dyDescent="0.25">
      <c r="I55" s="334" t="s">
        <v>1005</v>
      </c>
      <c r="J55" s="337" t="s">
        <v>2248</v>
      </c>
      <c r="K55" s="335">
        <v>28516</v>
      </c>
      <c r="L55" s="335">
        <v>0</v>
      </c>
      <c r="M55" s="335">
        <v>42000</v>
      </c>
      <c r="N55" s="335">
        <f>M55-37619</f>
        <v>4381</v>
      </c>
      <c r="O55" s="335">
        <f t="shared" si="6"/>
        <v>9103</v>
      </c>
      <c r="P55" s="335">
        <f t="shared" si="7"/>
        <v>0</v>
      </c>
      <c r="Q55" s="405">
        <f>O55/K55</f>
        <v>0.31922429513255718</v>
      </c>
      <c r="R55" s="348">
        <v>42156</v>
      </c>
      <c r="S55" s="348">
        <v>42196</v>
      </c>
    </row>
    <row r="56" spans="9:22" ht="15" customHeight="1" x14ac:dyDescent="0.25">
      <c r="I56" s="187" t="s">
        <v>1006</v>
      </c>
      <c r="J56" s="336" t="s">
        <v>2373</v>
      </c>
      <c r="K56" s="333">
        <v>1000</v>
      </c>
      <c r="L56" s="333">
        <v>348</v>
      </c>
      <c r="M56" s="333">
        <v>0</v>
      </c>
      <c r="N56" s="333">
        <v>0</v>
      </c>
      <c r="O56" s="343">
        <f t="shared" si="6"/>
        <v>0</v>
      </c>
      <c r="P56" s="333">
        <f t="shared" si="7"/>
        <v>1000</v>
      </c>
      <c r="Q56" s="403"/>
      <c r="R56" s="347">
        <v>42205</v>
      </c>
      <c r="S56" s="347"/>
    </row>
    <row r="57" spans="9:22" x14ac:dyDescent="0.25">
      <c r="I57" s="334" t="s">
        <v>1004</v>
      </c>
      <c r="J57" s="337" t="s">
        <v>2382</v>
      </c>
      <c r="K57" s="335">
        <v>590000</v>
      </c>
      <c r="L57" s="335">
        <v>1548</v>
      </c>
      <c r="M57" s="335">
        <v>700000</v>
      </c>
      <c r="N57" s="335">
        <f>M57-633290</f>
        <v>66710</v>
      </c>
      <c r="O57" s="335">
        <f t="shared" si="6"/>
        <v>43290</v>
      </c>
      <c r="P57" s="335">
        <f t="shared" si="7"/>
        <v>0</v>
      </c>
      <c r="Q57" s="411">
        <f>O57/K57</f>
        <v>7.3372881355932201E-2</v>
      </c>
      <c r="R57" s="348">
        <v>42251</v>
      </c>
      <c r="S57" s="348">
        <v>42294</v>
      </c>
      <c r="V57" s="622"/>
    </row>
    <row r="58" spans="9:22" x14ac:dyDescent="0.25">
      <c r="I58" s="334" t="s">
        <v>1004</v>
      </c>
      <c r="J58" s="337" t="s">
        <v>2366</v>
      </c>
      <c r="K58" s="335">
        <v>673000</v>
      </c>
      <c r="L58" s="335">
        <v>3372</v>
      </c>
      <c r="M58" s="335">
        <v>816000</v>
      </c>
      <c r="N58" s="335">
        <f>M58-730891</f>
        <v>85109</v>
      </c>
      <c r="O58" s="335">
        <f t="shared" si="6"/>
        <v>57891</v>
      </c>
      <c r="P58" s="335">
        <f t="shared" si="7"/>
        <v>0</v>
      </c>
      <c r="Q58" s="405">
        <f>O58/K58</f>
        <v>8.6019316493313527E-2</v>
      </c>
      <c r="R58" s="348">
        <v>42202</v>
      </c>
      <c r="S58" s="348">
        <v>42242</v>
      </c>
      <c r="V58" s="622"/>
    </row>
    <row r="59" spans="9:22" x14ac:dyDescent="0.25">
      <c r="I59" s="334" t="s">
        <v>1004</v>
      </c>
      <c r="J59" s="337" t="s">
        <v>2406</v>
      </c>
      <c r="K59" s="335">
        <v>700000</v>
      </c>
      <c r="L59" s="335">
        <v>14160</v>
      </c>
      <c r="M59" s="335">
        <v>857000</v>
      </c>
      <c r="N59" s="335">
        <f>M59-765415</f>
        <v>91585</v>
      </c>
      <c r="O59" s="335">
        <f t="shared" si="6"/>
        <v>65415</v>
      </c>
      <c r="P59" s="335">
        <f t="shared" si="7"/>
        <v>0</v>
      </c>
      <c r="Q59" s="411">
        <f>O59/K59</f>
        <v>9.3450000000000005E-2</v>
      </c>
      <c r="R59" s="348">
        <v>42242</v>
      </c>
      <c r="S59" s="348">
        <v>42280</v>
      </c>
      <c r="V59" s="622"/>
    </row>
    <row r="60" spans="9:22" x14ac:dyDescent="0.25">
      <c r="I60" s="187" t="s">
        <v>1004</v>
      </c>
      <c r="J60" s="336" t="s">
        <v>2391</v>
      </c>
      <c r="K60" s="333">
        <v>921000</v>
      </c>
      <c r="L60" s="333">
        <v>4500</v>
      </c>
      <c r="M60" s="333">
        <v>0</v>
      </c>
      <c r="N60" s="333">
        <v>0</v>
      </c>
      <c r="O60" s="343">
        <f t="shared" si="6"/>
        <v>0</v>
      </c>
      <c r="P60" s="333">
        <f t="shared" si="7"/>
        <v>921000</v>
      </c>
      <c r="Q60" s="403"/>
      <c r="R60" s="347">
        <v>42240</v>
      </c>
      <c r="S60" s="347"/>
    </row>
    <row r="61" spans="9:22" x14ac:dyDescent="0.25">
      <c r="I61" s="334" t="s">
        <v>1004</v>
      </c>
      <c r="J61" s="337" t="s">
        <v>2335</v>
      </c>
      <c r="K61" s="335">
        <v>1000000</v>
      </c>
      <c r="L61" s="335">
        <f>5628</f>
        <v>5628</v>
      </c>
      <c r="M61" s="335">
        <v>1200000</v>
      </c>
      <c r="N61" s="335">
        <f>M61-1080480</f>
        <v>119520</v>
      </c>
      <c r="O61" s="335">
        <f t="shared" si="6"/>
        <v>80480</v>
      </c>
      <c r="P61" s="335">
        <f t="shared" si="7"/>
        <v>0</v>
      </c>
      <c r="Q61" s="405">
        <f>O61/K61</f>
        <v>8.0479999999999996E-2</v>
      </c>
      <c r="R61" s="348">
        <v>42197</v>
      </c>
      <c r="S61" s="348">
        <v>42244</v>
      </c>
      <c r="V61" s="622"/>
    </row>
    <row r="62" spans="9:22" x14ac:dyDescent="0.25">
      <c r="I62" s="334" t="s">
        <v>1005</v>
      </c>
      <c r="J62" s="337" t="s">
        <v>2251</v>
      </c>
      <c r="K62" s="335">
        <v>11516</v>
      </c>
      <c r="L62" s="335">
        <v>0</v>
      </c>
      <c r="M62" s="335">
        <v>49000</v>
      </c>
      <c r="N62" s="335">
        <f>M62-43821</f>
        <v>5179</v>
      </c>
      <c r="O62" s="335">
        <f t="shared" si="6"/>
        <v>32305</v>
      </c>
      <c r="P62" s="335">
        <f t="shared" si="7"/>
        <v>0</v>
      </c>
      <c r="Q62" s="405">
        <f>O62/K62</f>
        <v>2.8052275095519277</v>
      </c>
      <c r="R62" s="348">
        <v>42156</v>
      </c>
      <c r="S62" s="348">
        <v>42196</v>
      </c>
    </row>
    <row r="63" spans="9:22" x14ac:dyDescent="0.25">
      <c r="I63" s="334" t="s">
        <v>1003</v>
      </c>
      <c r="J63" s="337" t="s">
        <v>2377</v>
      </c>
      <c r="K63" s="335">
        <v>0</v>
      </c>
      <c r="L63" s="335">
        <v>0</v>
      </c>
      <c r="M63" s="335">
        <v>1000</v>
      </c>
      <c r="N63" s="335">
        <v>50</v>
      </c>
      <c r="O63" s="335">
        <f t="shared" si="6"/>
        <v>950</v>
      </c>
      <c r="P63" s="335">
        <f t="shared" si="7"/>
        <v>0</v>
      </c>
      <c r="Q63" s="405" t="s">
        <v>1327</v>
      </c>
      <c r="R63" s="348">
        <v>42209</v>
      </c>
      <c r="S63" s="348">
        <v>42212</v>
      </c>
    </row>
    <row r="64" spans="9:22" x14ac:dyDescent="0.25">
      <c r="I64" s="187" t="s">
        <v>1004</v>
      </c>
      <c r="J64" s="336" t="s">
        <v>2407</v>
      </c>
      <c r="K64" s="333">
        <v>2652000</v>
      </c>
      <c r="L64" s="333">
        <v>23604</v>
      </c>
      <c r="M64" s="333">
        <v>0</v>
      </c>
      <c r="N64" s="333">
        <v>0</v>
      </c>
      <c r="O64" s="343">
        <f t="shared" si="6"/>
        <v>0</v>
      </c>
      <c r="P64" s="333">
        <f t="shared" si="7"/>
        <v>2652000</v>
      </c>
      <c r="Q64" s="403"/>
      <c r="R64" s="347">
        <v>42267</v>
      </c>
      <c r="S64" s="347"/>
    </row>
    <row r="65" spans="9:22" x14ac:dyDescent="0.25">
      <c r="I65" s="334" t="s">
        <v>1006</v>
      </c>
      <c r="J65" s="337" t="s">
        <v>1926</v>
      </c>
      <c r="K65" s="335">
        <v>2012000</v>
      </c>
      <c r="L65" s="335">
        <v>0</v>
      </c>
      <c r="M65" s="335">
        <v>1224000</v>
      </c>
      <c r="N65" s="335">
        <f>M65-1138320</f>
        <v>85680</v>
      </c>
      <c r="O65" s="335">
        <f t="shared" si="6"/>
        <v>-873680</v>
      </c>
      <c r="P65" s="335">
        <f t="shared" si="7"/>
        <v>0</v>
      </c>
      <c r="Q65" s="405">
        <f>O65/K65</f>
        <v>-0.43423459244532803</v>
      </c>
      <c r="R65" s="348">
        <v>41899</v>
      </c>
      <c r="S65" s="348">
        <v>42205</v>
      </c>
    </row>
    <row r="66" spans="9:22" x14ac:dyDescent="0.25">
      <c r="I66" s="334" t="s">
        <v>1004</v>
      </c>
      <c r="J66" s="337" t="s">
        <v>2395</v>
      </c>
      <c r="K66" s="335">
        <v>665000</v>
      </c>
      <c r="L66" s="335">
        <v>4548</v>
      </c>
      <c r="M66" s="335">
        <v>611000</v>
      </c>
      <c r="N66" s="335">
        <f>M66-545501</f>
        <v>65499</v>
      </c>
      <c r="O66" s="335">
        <f t="shared" si="6"/>
        <v>-119499</v>
      </c>
      <c r="P66" s="335">
        <f t="shared" si="7"/>
        <v>0</v>
      </c>
      <c r="Q66" s="405">
        <f>O66/K66</f>
        <v>-0.17969774436090225</v>
      </c>
      <c r="R66" s="348">
        <v>42238</v>
      </c>
      <c r="S66" s="348">
        <v>42274</v>
      </c>
      <c r="V66" s="622"/>
    </row>
    <row r="67" spans="9:22" x14ac:dyDescent="0.25">
      <c r="I67" s="187" t="s">
        <v>1004</v>
      </c>
      <c r="J67" s="336" t="s">
        <v>2402</v>
      </c>
      <c r="K67" s="333">
        <v>2167501</v>
      </c>
      <c r="L67" s="333">
        <v>32232</v>
      </c>
      <c r="M67" s="333">
        <v>0</v>
      </c>
      <c r="N67" s="333">
        <v>0</v>
      </c>
      <c r="O67" s="343">
        <f t="shared" si="6"/>
        <v>0</v>
      </c>
      <c r="P67" s="333">
        <f t="shared" si="7"/>
        <v>2167501</v>
      </c>
      <c r="Q67" s="403"/>
      <c r="R67" s="347">
        <v>42270</v>
      </c>
      <c r="S67" s="347"/>
    </row>
    <row r="68" spans="9:22" x14ac:dyDescent="0.25">
      <c r="I68" s="408" t="s">
        <v>1004</v>
      </c>
      <c r="J68" s="409" t="s">
        <v>2379</v>
      </c>
      <c r="K68" s="410">
        <v>800000</v>
      </c>
      <c r="L68" s="410">
        <v>3732</v>
      </c>
      <c r="M68" s="410">
        <v>1015000</v>
      </c>
      <c r="N68" s="410">
        <f>M68-909136</f>
        <v>105864</v>
      </c>
      <c r="O68" s="410">
        <f t="shared" ref="O68:O81" si="9">IF(M68=0,0,M68-K68)-N68</f>
        <v>109136</v>
      </c>
      <c r="P68" s="410">
        <f t="shared" ref="P68:P81" si="10">IF(M68=0,K68,0)</f>
        <v>0</v>
      </c>
      <c r="Q68" s="411">
        <f t="shared" ref="Q68:Q74" si="11">O68/K68</f>
        <v>0.13642000000000001</v>
      </c>
      <c r="R68" s="412">
        <v>42251</v>
      </c>
      <c r="S68" s="412">
        <v>42291</v>
      </c>
      <c r="V68" s="622"/>
    </row>
    <row r="69" spans="9:22" x14ac:dyDescent="0.25">
      <c r="I69" s="334" t="s">
        <v>1004</v>
      </c>
      <c r="J69" s="337" t="s">
        <v>2367</v>
      </c>
      <c r="K69" s="335">
        <v>624000</v>
      </c>
      <c r="L69" s="335">
        <v>3588</v>
      </c>
      <c r="M69" s="335">
        <v>815000</v>
      </c>
      <c r="N69" s="335">
        <f>M69-728855</f>
        <v>86145</v>
      </c>
      <c r="O69" s="335">
        <f t="shared" si="9"/>
        <v>104855</v>
      </c>
      <c r="P69" s="335">
        <f t="shared" si="10"/>
        <v>0</v>
      </c>
      <c r="Q69" s="405">
        <f t="shared" si="11"/>
        <v>0.16803685897435897</v>
      </c>
      <c r="R69" s="348">
        <v>42203</v>
      </c>
      <c r="S69" s="348">
        <v>42241</v>
      </c>
      <c r="V69" s="622"/>
    </row>
    <row r="70" spans="9:22" x14ac:dyDescent="0.25">
      <c r="I70" s="334" t="s">
        <v>1004</v>
      </c>
      <c r="J70" s="337" t="s">
        <v>2389</v>
      </c>
      <c r="K70" s="335">
        <v>521000</v>
      </c>
      <c r="L70" s="335">
        <v>1500</v>
      </c>
      <c r="M70" s="335">
        <v>700000</v>
      </c>
      <c r="N70" s="335">
        <f>M70-628460</f>
        <v>71540</v>
      </c>
      <c r="O70" s="335">
        <f t="shared" si="9"/>
        <v>107460</v>
      </c>
      <c r="P70" s="335">
        <f t="shared" si="10"/>
        <v>0</v>
      </c>
      <c r="Q70" s="411">
        <f t="shared" si="11"/>
        <v>0.20625719769673703</v>
      </c>
      <c r="R70" s="348">
        <v>42240</v>
      </c>
      <c r="S70" s="348">
        <v>42294</v>
      </c>
      <c r="V70" s="622"/>
    </row>
    <row r="71" spans="9:22" x14ac:dyDescent="0.25">
      <c r="I71" s="334" t="s">
        <v>1004</v>
      </c>
      <c r="J71" s="337" t="s">
        <v>2339</v>
      </c>
      <c r="K71" s="335">
        <v>545372</v>
      </c>
      <c r="L71" s="335">
        <v>2628</v>
      </c>
      <c r="M71" s="335">
        <v>750000</v>
      </c>
      <c r="N71" s="335">
        <f>M71-673875</f>
        <v>76125</v>
      </c>
      <c r="O71" s="335">
        <f t="shared" si="9"/>
        <v>128503</v>
      </c>
      <c r="P71" s="335">
        <f t="shared" si="10"/>
        <v>0</v>
      </c>
      <c r="Q71" s="405">
        <f t="shared" si="11"/>
        <v>0.23562449117299752</v>
      </c>
      <c r="R71" s="348">
        <v>42197</v>
      </c>
      <c r="S71" s="348">
        <v>42242</v>
      </c>
      <c r="V71" s="622"/>
    </row>
    <row r="72" spans="9:22" x14ac:dyDescent="0.25">
      <c r="I72" s="334" t="s">
        <v>1004</v>
      </c>
      <c r="J72" s="337" t="s">
        <v>2340</v>
      </c>
      <c r="K72" s="335">
        <v>521000</v>
      </c>
      <c r="L72" s="335">
        <v>1428</v>
      </c>
      <c r="M72" s="335">
        <v>775000</v>
      </c>
      <c r="N72" s="335">
        <f>M72*(0.102)</f>
        <v>79050</v>
      </c>
      <c r="O72" s="335">
        <f t="shared" si="9"/>
        <v>174950</v>
      </c>
      <c r="P72" s="335">
        <f t="shared" si="10"/>
        <v>0</v>
      </c>
      <c r="Q72" s="405">
        <f t="shared" si="11"/>
        <v>0.33579654510556622</v>
      </c>
      <c r="R72" s="348">
        <v>42197</v>
      </c>
      <c r="S72" s="348">
        <v>42232</v>
      </c>
      <c r="V72" s="622"/>
    </row>
    <row r="73" spans="9:22" x14ac:dyDescent="0.25">
      <c r="I73" s="334" t="s">
        <v>1006</v>
      </c>
      <c r="J73" s="337" t="s">
        <v>2023</v>
      </c>
      <c r="K73" s="335">
        <v>1309644</v>
      </c>
      <c r="L73" s="335">
        <v>0</v>
      </c>
      <c r="M73" s="335">
        <v>625000</v>
      </c>
      <c r="N73" s="335">
        <f>M73-581250</f>
        <v>43750</v>
      </c>
      <c r="O73" s="335">
        <f t="shared" si="9"/>
        <v>-728394</v>
      </c>
      <c r="P73" s="335">
        <f t="shared" si="10"/>
        <v>0</v>
      </c>
      <c r="Q73" s="405">
        <f t="shared" si="11"/>
        <v>-0.55617709850921315</v>
      </c>
      <c r="R73" s="348">
        <v>41993</v>
      </c>
      <c r="S73" s="348">
        <v>42196</v>
      </c>
    </row>
    <row r="74" spans="9:22" x14ac:dyDescent="0.25">
      <c r="I74" s="334" t="s">
        <v>1004</v>
      </c>
      <c r="J74" s="337" t="s">
        <v>2342</v>
      </c>
      <c r="K74" s="335">
        <v>510000</v>
      </c>
      <c r="L74" s="335">
        <v>2940</v>
      </c>
      <c r="M74" s="335">
        <v>937000</v>
      </c>
      <c r="N74" s="335">
        <f>M74*(0.102)</f>
        <v>95574</v>
      </c>
      <c r="O74" s="335">
        <f t="shared" si="9"/>
        <v>331426</v>
      </c>
      <c r="P74" s="335">
        <f t="shared" si="10"/>
        <v>0</v>
      </c>
      <c r="Q74" s="405">
        <f t="shared" si="11"/>
        <v>0.64985490196078433</v>
      </c>
      <c r="R74" s="348">
        <v>42197</v>
      </c>
      <c r="S74" s="348">
        <v>42237</v>
      </c>
      <c r="V74" s="622"/>
    </row>
    <row r="75" spans="9:22" x14ac:dyDescent="0.25">
      <c r="I75" s="334" t="s">
        <v>1003</v>
      </c>
      <c r="J75" s="337" t="s">
        <v>1017</v>
      </c>
      <c r="K75" s="335">
        <v>0</v>
      </c>
      <c r="L75" s="335">
        <v>0</v>
      </c>
      <c r="M75" s="335">
        <v>1500000</v>
      </c>
      <c r="N75" s="335">
        <f>M75-1425000</f>
        <v>75000</v>
      </c>
      <c r="O75" s="335">
        <f t="shared" si="9"/>
        <v>1425000</v>
      </c>
      <c r="P75" s="335">
        <f t="shared" si="10"/>
        <v>0</v>
      </c>
      <c r="Q75" s="405" t="s">
        <v>1327</v>
      </c>
      <c r="R75" s="348">
        <v>40993</v>
      </c>
      <c r="S75" s="348">
        <v>42196</v>
      </c>
    </row>
    <row r="76" spans="9:22" x14ac:dyDescent="0.25">
      <c r="I76" s="334" t="s">
        <v>1003</v>
      </c>
      <c r="J76" s="337" t="s">
        <v>2411</v>
      </c>
      <c r="K76" s="335">
        <v>0</v>
      </c>
      <c r="L76" s="335">
        <v>0</v>
      </c>
      <c r="M76" s="335">
        <v>10000</v>
      </c>
      <c r="N76" s="335">
        <f>M76*0.05</f>
        <v>500</v>
      </c>
      <c r="O76" s="335">
        <f t="shared" si="9"/>
        <v>9500</v>
      </c>
      <c r="P76" s="335">
        <f t="shared" si="10"/>
        <v>0</v>
      </c>
      <c r="Q76" s="405" t="s">
        <v>1327</v>
      </c>
      <c r="R76" s="348">
        <v>42279</v>
      </c>
      <c r="S76" s="348">
        <v>42282</v>
      </c>
    </row>
    <row r="77" spans="9:22" x14ac:dyDescent="0.25">
      <c r="I77" s="187" t="s">
        <v>1006</v>
      </c>
      <c r="J77" s="336" t="s">
        <v>2024</v>
      </c>
      <c r="K77" s="333">
        <v>3329940</v>
      </c>
      <c r="L77" s="333">
        <v>0</v>
      </c>
      <c r="M77" s="333">
        <v>0</v>
      </c>
      <c r="N77" s="333">
        <v>0</v>
      </c>
      <c r="O77" s="343">
        <f t="shared" si="9"/>
        <v>0</v>
      </c>
      <c r="P77" s="333">
        <f t="shared" si="10"/>
        <v>3329940</v>
      </c>
      <c r="Q77" s="403"/>
      <c r="R77" s="347">
        <v>41992</v>
      </c>
      <c r="S77" s="347"/>
    </row>
    <row r="78" spans="9:22" x14ac:dyDescent="0.25">
      <c r="I78" s="187" t="s">
        <v>1006</v>
      </c>
      <c r="J78" s="336" t="s">
        <v>2080</v>
      </c>
      <c r="K78" s="333">
        <v>2359404</v>
      </c>
      <c r="L78" s="333">
        <v>0</v>
      </c>
      <c r="M78" s="333">
        <v>0</v>
      </c>
      <c r="N78" s="333">
        <v>0</v>
      </c>
      <c r="O78" s="343">
        <f t="shared" si="9"/>
        <v>0</v>
      </c>
      <c r="P78" s="333">
        <f t="shared" si="10"/>
        <v>2359404</v>
      </c>
      <c r="Q78" s="403"/>
      <c r="R78" s="347">
        <v>42110</v>
      </c>
      <c r="S78" s="347"/>
    </row>
    <row r="79" spans="9:22" x14ac:dyDescent="0.25">
      <c r="I79" s="334" t="s">
        <v>1005</v>
      </c>
      <c r="J79" s="337" t="s">
        <v>2252</v>
      </c>
      <c r="K79" s="335">
        <v>105036</v>
      </c>
      <c r="L79" s="335">
        <v>0</v>
      </c>
      <c r="M79" s="335">
        <v>188000</v>
      </c>
      <c r="N79" s="335">
        <f>M79-169162</f>
        <v>18838</v>
      </c>
      <c r="O79" s="335">
        <f t="shared" si="9"/>
        <v>64126</v>
      </c>
      <c r="P79" s="335">
        <f t="shared" si="10"/>
        <v>0</v>
      </c>
      <c r="Q79" s="405"/>
      <c r="R79" s="348">
        <v>42156</v>
      </c>
      <c r="S79" s="348">
        <v>42203</v>
      </c>
    </row>
    <row r="80" spans="9:22" x14ac:dyDescent="0.25">
      <c r="I80" s="334" t="s">
        <v>1004</v>
      </c>
      <c r="J80" s="337" t="s">
        <v>2232</v>
      </c>
      <c r="K80" s="335">
        <v>22716</v>
      </c>
      <c r="L80" s="335">
        <v>0</v>
      </c>
      <c r="M80" s="335">
        <v>20000</v>
      </c>
      <c r="N80" s="335">
        <f>M80-17982</f>
        <v>2018</v>
      </c>
      <c r="O80" s="335">
        <f t="shared" si="9"/>
        <v>-4734</v>
      </c>
      <c r="P80" s="335">
        <f t="shared" si="10"/>
        <v>0</v>
      </c>
      <c r="Q80" s="405">
        <f>O80/K80</f>
        <v>-0.20839936608557844</v>
      </c>
      <c r="R80" s="348">
        <v>42151</v>
      </c>
      <c r="S80" s="348">
        <v>42196</v>
      </c>
      <c r="V80" s="622"/>
    </row>
    <row r="81" spans="9:19" x14ac:dyDescent="0.25">
      <c r="I81" s="187" t="s">
        <v>1004</v>
      </c>
      <c r="J81" s="336" t="s">
        <v>2420</v>
      </c>
      <c r="K81" s="333">
        <v>2862000</v>
      </c>
      <c r="L81" s="333">
        <v>21810</v>
      </c>
      <c r="M81" s="333">
        <v>0</v>
      </c>
      <c r="N81" s="333">
        <v>0</v>
      </c>
      <c r="O81" s="343">
        <f t="shared" si="9"/>
        <v>0</v>
      </c>
      <c r="P81" s="333">
        <f t="shared" si="10"/>
        <v>2862000</v>
      </c>
      <c r="Q81" s="403"/>
      <c r="R81" s="347">
        <v>42297</v>
      </c>
      <c r="S81" s="347"/>
    </row>
    <row r="82" spans="9:19" x14ac:dyDescent="0.25">
      <c r="I82" s="187" t="s">
        <v>1006</v>
      </c>
      <c r="J82" s="336" t="s">
        <v>2421</v>
      </c>
      <c r="K82" s="333">
        <v>653000</v>
      </c>
      <c r="L82" s="333">
        <v>18192</v>
      </c>
      <c r="M82" s="333">
        <v>0</v>
      </c>
      <c r="N82" s="333">
        <v>0</v>
      </c>
      <c r="O82" s="343">
        <f t="shared" ref="O82:O83" si="12">IF(M82=0,0,M82-K82)-N82</f>
        <v>0</v>
      </c>
      <c r="P82" s="333">
        <f t="shared" ref="P82:P83" si="13">IF(M82=0,K82,0)</f>
        <v>653000</v>
      </c>
      <c r="Q82" s="403"/>
      <c r="R82" s="347">
        <v>42297</v>
      </c>
      <c r="S82" s="347"/>
    </row>
    <row r="83" spans="9:19" x14ac:dyDescent="0.25">
      <c r="I83" s="187" t="s">
        <v>1004</v>
      </c>
      <c r="J83" s="336" t="s">
        <v>2422</v>
      </c>
      <c r="K83" s="333">
        <v>2475000</v>
      </c>
      <c r="L83" s="333">
        <v>25300</v>
      </c>
      <c r="M83" s="333">
        <v>0</v>
      </c>
      <c r="N83" s="333">
        <v>0</v>
      </c>
      <c r="O83" s="343">
        <f t="shared" si="12"/>
        <v>0</v>
      </c>
      <c r="P83" s="333">
        <f t="shared" si="13"/>
        <v>2475000</v>
      </c>
      <c r="Q83" s="403"/>
      <c r="R83" s="347">
        <v>42300</v>
      </c>
      <c r="S83" s="347"/>
    </row>
  </sheetData>
  <autoFilter ref="I3:S80"/>
  <sortState ref="I4:S80">
    <sortCondition descending="1" ref="J4:J80"/>
  </sortState>
  <mergeCells count="5">
    <mergeCell ref="B2:G2"/>
    <mergeCell ref="I2:S2"/>
    <mergeCell ref="B3:G3"/>
    <mergeCell ref="B4:C4"/>
    <mergeCell ref="E4:F4"/>
  </mergeCells>
  <conditionalFormatting sqref="F12:F17 Q6:Q7">
    <cfRule type="cellIs" dxfId="1212" priority="791" operator="lessThan">
      <formula>0</formula>
    </cfRule>
    <cfRule type="cellIs" dxfId="1211" priority="792" operator="greaterThan">
      <formula>0</formula>
    </cfRule>
  </conditionalFormatting>
  <conditionalFormatting sqref="O6">
    <cfRule type="cellIs" dxfId="1210" priority="763" operator="lessThan">
      <formula>0</formula>
    </cfRule>
    <cfRule type="cellIs" dxfId="1209" priority="764" operator="greaterThan">
      <formula>0</formula>
    </cfRule>
  </conditionalFormatting>
  <conditionalFormatting sqref="O7">
    <cfRule type="cellIs" dxfId="1208" priority="761" operator="lessThan">
      <formula>0</formula>
    </cfRule>
    <cfRule type="cellIs" dxfId="1207" priority="762" operator="greaterThan">
      <formula>0</formula>
    </cfRule>
  </conditionalFormatting>
  <conditionalFormatting sqref="O8">
    <cfRule type="cellIs" dxfId="1206" priority="759" operator="lessThan">
      <formula>0</formula>
    </cfRule>
    <cfRule type="cellIs" dxfId="1205" priority="760" operator="greaterThan">
      <formula>0</formula>
    </cfRule>
  </conditionalFormatting>
  <conditionalFormatting sqref="O9">
    <cfRule type="cellIs" dxfId="1204" priority="757" operator="lessThan">
      <formula>0</formula>
    </cfRule>
    <cfRule type="cellIs" dxfId="1203" priority="758" operator="greaterThan">
      <formula>0</formula>
    </cfRule>
  </conditionalFormatting>
  <conditionalFormatting sqref="O10">
    <cfRule type="cellIs" dxfId="1202" priority="755" operator="lessThan">
      <formula>0</formula>
    </cfRule>
    <cfRule type="cellIs" dxfId="1201" priority="756" operator="greaterThan">
      <formula>0</formula>
    </cfRule>
  </conditionalFormatting>
  <conditionalFormatting sqref="O11">
    <cfRule type="cellIs" dxfId="1200" priority="753" operator="lessThan">
      <formula>0</formula>
    </cfRule>
    <cfRule type="cellIs" dxfId="1199" priority="754" operator="greaterThan">
      <formula>0</formula>
    </cfRule>
  </conditionalFormatting>
  <conditionalFormatting sqref="O12">
    <cfRule type="cellIs" dxfId="1198" priority="751" operator="lessThan">
      <formula>0</formula>
    </cfRule>
    <cfRule type="cellIs" dxfId="1197" priority="752" operator="greaterThan">
      <formula>0</formula>
    </cfRule>
  </conditionalFormatting>
  <conditionalFormatting sqref="O13">
    <cfRule type="cellIs" dxfId="1196" priority="749" operator="lessThan">
      <formula>0</formula>
    </cfRule>
    <cfRule type="cellIs" dxfId="1195" priority="750" operator="greaterThan">
      <formula>0</formula>
    </cfRule>
  </conditionalFormatting>
  <conditionalFormatting sqref="O14">
    <cfRule type="cellIs" dxfId="1194" priority="747" operator="lessThan">
      <formula>0</formula>
    </cfRule>
    <cfRule type="cellIs" dxfId="1193" priority="748" operator="greaterThan">
      <formula>0</formula>
    </cfRule>
  </conditionalFormatting>
  <conditionalFormatting sqref="O15 Q15">
    <cfRule type="cellIs" dxfId="1192" priority="745" operator="lessThan">
      <formula>0</formula>
    </cfRule>
    <cfRule type="cellIs" dxfId="1191" priority="746" operator="greaterThan">
      <formula>0</formula>
    </cfRule>
  </conditionalFormatting>
  <conditionalFormatting sqref="O16">
    <cfRule type="cellIs" dxfId="1190" priority="741" operator="lessThan">
      <formula>0</formula>
    </cfRule>
    <cfRule type="cellIs" dxfId="1189" priority="742" operator="greaterThan">
      <formula>0</formula>
    </cfRule>
  </conditionalFormatting>
  <conditionalFormatting sqref="Q11">
    <cfRule type="cellIs" dxfId="1188" priority="739" operator="lessThan">
      <formula>0</formula>
    </cfRule>
    <cfRule type="cellIs" dxfId="1187" priority="740" operator="greaterThan">
      <formula>0</formula>
    </cfRule>
  </conditionalFormatting>
  <conditionalFormatting sqref="O29">
    <cfRule type="cellIs" dxfId="1186" priority="591" operator="lessThan">
      <formula>0</formula>
    </cfRule>
    <cfRule type="cellIs" dxfId="1185" priority="592" operator="greaterThan">
      <formula>0</formula>
    </cfRule>
  </conditionalFormatting>
  <conditionalFormatting sqref="O17">
    <cfRule type="cellIs" dxfId="1184" priority="685" operator="lessThan">
      <formula>0</formula>
    </cfRule>
    <cfRule type="cellIs" dxfId="1183" priority="686" operator="greaterThan">
      <formula>0</formula>
    </cfRule>
  </conditionalFormatting>
  <conditionalFormatting sqref="O18">
    <cfRule type="cellIs" dxfId="1182" priority="677" operator="lessThan">
      <formula>0</formula>
    </cfRule>
    <cfRule type="cellIs" dxfId="1181" priority="678" operator="greaterThan">
      <formula>0</formula>
    </cfRule>
  </conditionalFormatting>
  <conditionalFormatting sqref="O19">
    <cfRule type="cellIs" dxfId="1180" priority="653" operator="lessThan">
      <formula>0</formula>
    </cfRule>
    <cfRule type="cellIs" dxfId="1179" priority="654" operator="greaterThan">
      <formula>0</formula>
    </cfRule>
  </conditionalFormatting>
  <conditionalFormatting sqref="O20">
    <cfRule type="cellIs" dxfId="1178" priority="643" operator="lessThan">
      <formula>0</formula>
    </cfRule>
    <cfRule type="cellIs" dxfId="1177" priority="644" operator="greaterThan">
      <formula>0</formula>
    </cfRule>
  </conditionalFormatting>
  <conditionalFormatting sqref="O22">
    <cfRule type="cellIs" dxfId="1176" priority="635" operator="lessThan">
      <formula>0</formula>
    </cfRule>
    <cfRule type="cellIs" dxfId="1175" priority="636" operator="greaterThan">
      <formula>0</formula>
    </cfRule>
  </conditionalFormatting>
  <conditionalFormatting sqref="O21">
    <cfRule type="cellIs" dxfId="1174" priority="637" operator="lessThan">
      <formula>0</formula>
    </cfRule>
    <cfRule type="cellIs" dxfId="1173" priority="638" operator="greaterThan">
      <formula>0</formula>
    </cfRule>
  </conditionalFormatting>
  <conditionalFormatting sqref="O25">
    <cfRule type="cellIs" dxfId="1172" priority="611" operator="lessThan">
      <formula>0</formula>
    </cfRule>
    <cfRule type="cellIs" dxfId="1171" priority="612" operator="greaterThan">
      <formula>0</formula>
    </cfRule>
  </conditionalFormatting>
  <conditionalFormatting sqref="O5">
    <cfRule type="cellIs" dxfId="1170" priority="629" operator="lessThan">
      <formula>0</formula>
    </cfRule>
    <cfRule type="cellIs" dxfId="1169" priority="630" operator="greaterThan">
      <formula>0</formula>
    </cfRule>
  </conditionalFormatting>
  <conditionalFormatting sqref="O23">
    <cfRule type="cellIs" dxfId="1168" priority="623" operator="lessThan">
      <formula>0</formula>
    </cfRule>
    <cfRule type="cellIs" dxfId="1167" priority="624" operator="greaterThan">
      <formula>0</formula>
    </cfRule>
  </conditionalFormatting>
  <conditionalFormatting sqref="O24">
    <cfRule type="cellIs" dxfId="1166" priority="617" operator="lessThan">
      <formula>0</formula>
    </cfRule>
    <cfRule type="cellIs" dxfId="1165" priority="618" operator="greaterThan">
      <formula>0</formula>
    </cfRule>
  </conditionalFormatting>
  <conditionalFormatting sqref="O26">
    <cfRule type="cellIs" dxfId="1164" priority="605" operator="lessThan">
      <formula>0</formula>
    </cfRule>
    <cfRule type="cellIs" dxfId="1163" priority="606" operator="greaterThan">
      <formula>0</formula>
    </cfRule>
  </conditionalFormatting>
  <conditionalFormatting sqref="O27">
    <cfRule type="cellIs" dxfId="1162" priority="599" operator="lessThan">
      <formula>0</formula>
    </cfRule>
    <cfRule type="cellIs" dxfId="1161" priority="600" operator="greaterThan">
      <formula>0</formula>
    </cfRule>
  </conditionalFormatting>
  <conditionalFormatting sqref="O28">
    <cfRule type="cellIs" dxfId="1160" priority="593" operator="lessThan">
      <formula>0</formula>
    </cfRule>
    <cfRule type="cellIs" dxfId="1159" priority="594" operator="greaterThan">
      <formula>0</formula>
    </cfRule>
  </conditionalFormatting>
  <conditionalFormatting sqref="Q9">
    <cfRule type="cellIs" dxfId="1158" priority="571" operator="lessThan">
      <formula>0</formula>
    </cfRule>
    <cfRule type="cellIs" dxfId="1157" priority="572" operator="greaterThan">
      <formula>0</formula>
    </cfRule>
  </conditionalFormatting>
  <conditionalFormatting sqref="O30">
    <cfRule type="cellIs" dxfId="1156" priority="569" operator="lessThan">
      <formula>0</formula>
    </cfRule>
    <cfRule type="cellIs" dxfId="1155" priority="570" operator="greaterThan">
      <formula>0</formula>
    </cfRule>
  </conditionalFormatting>
  <conditionalFormatting sqref="Q10">
    <cfRule type="cellIs" dxfId="1154" priority="567" operator="lessThan">
      <formula>0</formula>
    </cfRule>
    <cfRule type="cellIs" dxfId="1153" priority="568" operator="greaterThan">
      <formula>0</formula>
    </cfRule>
  </conditionalFormatting>
  <conditionalFormatting sqref="Q17">
    <cfRule type="cellIs" dxfId="1152" priority="565" operator="lessThan">
      <formula>0</formula>
    </cfRule>
    <cfRule type="cellIs" dxfId="1151" priority="566" operator="greaterThan">
      <formula>0</formula>
    </cfRule>
  </conditionalFormatting>
  <conditionalFormatting sqref="Q18">
    <cfRule type="cellIs" dxfId="1150" priority="563" operator="lessThan">
      <formula>0</formula>
    </cfRule>
    <cfRule type="cellIs" dxfId="1149" priority="564" operator="greaterThan">
      <formula>0</formula>
    </cfRule>
  </conditionalFormatting>
  <conditionalFormatting sqref="Q19">
    <cfRule type="cellIs" dxfId="1148" priority="561" operator="lessThan">
      <formula>0</formula>
    </cfRule>
    <cfRule type="cellIs" dxfId="1147" priority="562" operator="greaterThan">
      <formula>0</formula>
    </cfRule>
  </conditionalFormatting>
  <conditionalFormatting sqref="Q5">
    <cfRule type="cellIs" dxfId="1146" priority="557" operator="lessThan">
      <formula>0</formula>
    </cfRule>
    <cfRule type="cellIs" dxfId="1145" priority="558" operator="greaterThan">
      <formula>0</formula>
    </cfRule>
  </conditionalFormatting>
  <conditionalFormatting sqref="O31">
    <cfRule type="cellIs" dxfId="1144" priority="461" operator="lessThan">
      <formula>0</formula>
    </cfRule>
    <cfRule type="cellIs" dxfId="1143" priority="462" operator="greaterThan">
      <formula>0</formula>
    </cfRule>
  </conditionalFormatting>
  <conditionalFormatting sqref="O32">
    <cfRule type="cellIs" dxfId="1142" priority="455" operator="lessThan">
      <formula>0</formula>
    </cfRule>
    <cfRule type="cellIs" dxfId="1141" priority="456" operator="greaterThan">
      <formula>0</formula>
    </cfRule>
  </conditionalFormatting>
  <conditionalFormatting sqref="Q8">
    <cfRule type="cellIs" dxfId="1140" priority="449" operator="lessThan">
      <formula>0</formula>
    </cfRule>
    <cfRule type="cellIs" dxfId="1139" priority="450" operator="greaterThan">
      <formula>0</formula>
    </cfRule>
  </conditionalFormatting>
  <conditionalFormatting sqref="O33">
    <cfRule type="cellIs" dxfId="1138" priority="445" operator="lessThan">
      <formula>0</formula>
    </cfRule>
    <cfRule type="cellIs" dxfId="1137" priority="446" operator="greaterThan">
      <formula>0</formula>
    </cfRule>
  </conditionalFormatting>
  <conditionalFormatting sqref="Q33">
    <cfRule type="cellIs" dxfId="1136" priority="441" operator="lessThan">
      <formula>0</formula>
    </cfRule>
    <cfRule type="cellIs" dxfId="1135" priority="442" operator="greaterThan">
      <formula>0</formula>
    </cfRule>
  </conditionalFormatting>
  <conditionalFormatting sqref="O34">
    <cfRule type="cellIs" dxfId="1134" priority="439" operator="lessThan">
      <formula>0</formula>
    </cfRule>
    <cfRule type="cellIs" dxfId="1133" priority="440" operator="greaterThan">
      <formula>0</formula>
    </cfRule>
  </conditionalFormatting>
  <conditionalFormatting sqref="Q34">
    <cfRule type="cellIs" dxfId="1132" priority="435" operator="lessThan">
      <formula>0</formula>
    </cfRule>
    <cfRule type="cellIs" dxfId="1131" priority="436" operator="greaterThan">
      <formula>0</formula>
    </cfRule>
  </conditionalFormatting>
  <conditionalFormatting sqref="O35">
    <cfRule type="cellIs" dxfId="1130" priority="433" operator="lessThan">
      <formula>0</formula>
    </cfRule>
    <cfRule type="cellIs" dxfId="1129" priority="434" operator="greaterThan">
      <formula>0</formula>
    </cfRule>
  </conditionalFormatting>
  <conditionalFormatting sqref="Q35">
    <cfRule type="cellIs" dxfId="1128" priority="429" operator="lessThan">
      <formula>0</formula>
    </cfRule>
    <cfRule type="cellIs" dxfId="1127" priority="430" operator="greaterThan">
      <formula>0</formula>
    </cfRule>
  </conditionalFormatting>
  <conditionalFormatting sqref="O36">
    <cfRule type="cellIs" dxfId="1126" priority="427" operator="lessThan">
      <formula>0</formula>
    </cfRule>
    <cfRule type="cellIs" dxfId="1125" priority="428" operator="greaterThan">
      <formula>0</formula>
    </cfRule>
  </conditionalFormatting>
  <conditionalFormatting sqref="Q36">
    <cfRule type="cellIs" dxfId="1124" priority="423" operator="lessThan">
      <formula>0</formula>
    </cfRule>
    <cfRule type="cellIs" dxfId="1123" priority="424" operator="greaterThan">
      <formula>0</formula>
    </cfRule>
  </conditionalFormatting>
  <conditionalFormatting sqref="O37">
    <cfRule type="cellIs" dxfId="1122" priority="421" operator="lessThan">
      <formula>0</formula>
    </cfRule>
    <cfRule type="cellIs" dxfId="1121" priority="422" operator="greaterThan">
      <formula>0</formula>
    </cfRule>
  </conditionalFormatting>
  <conditionalFormatting sqref="Q37">
    <cfRule type="cellIs" dxfId="1120" priority="417" operator="lessThan">
      <formula>0</formula>
    </cfRule>
    <cfRule type="cellIs" dxfId="1119" priority="418" operator="greaterThan">
      <formula>0</formula>
    </cfRule>
  </conditionalFormatting>
  <conditionalFormatting sqref="O38">
    <cfRule type="cellIs" dxfId="1118" priority="415" operator="lessThan">
      <formula>0</formula>
    </cfRule>
    <cfRule type="cellIs" dxfId="1117" priority="416" operator="greaterThan">
      <formula>0</formula>
    </cfRule>
  </conditionalFormatting>
  <conditionalFormatting sqref="Q38">
    <cfRule type="cellIs" dxfId="1116" priority="411" operator="lessThan">
      <formula>0</formula>
    </cfRule>
    <cfRule type="cellIs" dxfId="1115" priority="412" operator="greaterThan">
      <formula>0</formula>
    </cfRule>
  </conditionalFormatting>
  <conditionalFormatting sqref="O39">
    <cfRule type="cellIs" dxfId="1114" priority="409" operator="lessThan">
      <formula>0</formula>
    </cfRule>
    <cfRule type="cellIs" dxfId="1113" priority="410" operator="greaterThan">
      <formula>0</formula>
    </cfRule>
  </conditionalFormatting>
  <conditionalFormatting sqref="Q39">
    <cfRule type="cellIs" dxfId="1112" priority="405" operator="lessThan">
      <formula>0</formula>
    </cfRule>
    <cfRule type="cellIs" dxfId="1111" priority="406" operator="greaterThan">
      <formula>0</formula>
    </cfRule>
  </conditionalFormatting>
  <conditionalFormatting sqref="Q22">
    <cfRule type="cellIs" dxfId="1110" priority="403" operator="lessThan">
      <formula>0</formula>
    </cfRule>
    <cfRule type="cellIs" dxfId="1109" priority="404" operator="greaterThan">
      <formula>0</formula>
    </cfRule>
  </conditionalFormatting>
  <conditionalFormatting sqref="Q12">
    <cfRule type="cellIs" dxfId="1108" priority="399" operator="lessThan">
      <formula>0</formula>
    </cfRule>
    <cfRule type="cellIs" dxfId="1107" priority="400" operator="greaterThan">
      <formula>0</formula>
    </cfRule>
  </conditionalFormatting>
  <conditionalFormatting sqref="Q14">
    <cfRule type="cellIs" dxfId="1106" priority="391" operator="lessThan">
      <formula>0</formula>
    </cfRule>
    <cfRule type="cellIs" dxfId="1105" priority="392" operator="greaterThan">
      <formula>0</formula>
    </cfRule>
  </conditionalFormatting>
  <conditionalFormatting sqref="Q20">
    <cfRule type="cellIs" dxfId="1104" priority="387" operator="lessThan">
      <formula>0</formula>
    </cfRule>
    <cfRule type="cellIs" dxfId="1103" priority="388" operator="greaterThan">
      <formula>0</formula>
    </cfRule>
  </conditionalFormatting>
  <conditionalFormatting sqref="Q42">
    <cfRule type="cellIs" dxfId="1102" priority="367" operator="lessThan">
      <formula>0</formula>
    </cfRule>
    <cfRule type="cellIs" dxfId="1101" priority="368" operator="greaterThan">
      <formula>0</formula>
    </cfRule>
  </conditionalFormatting>
  <conditionalFormatting sqref="O40">
    <cfRule type="cellIs" dxfId="1100" priority="383" operator="lessThan">
      <formula>0</formula>
    </cfRule>
    <cfRule type="cellIs" dxfId="1099" priority="384" operator="greaterThan">
      <formula>0</formula>
    </cfRule>
  </conditionalFormatting>
  <conditionalFormatting sqref="Q40">
    <cfRule type="cellIs" dxfId="1098" priority="379" operator="lessThan">
      <formula>0</formula>
    </cfRule>
    <cfRule type="cellIs" dxfId="1097" priority="380" operator="greaterThan">
      <formula>0</formula>
    </cfRule>
  </conditionalFormatting>
  <conditionalFormatting sqref="O41">
    <cfRule type="cellIs" dxfId="1096" priority="377" operator="lessThan">
      <formula>0</formula>
    </cfRule>
    <cfRule type="cellIs" dxfId="1095" priority="378" operator="greaterThan">
      <formula>0</formula>
    </cfRule>
  </conditionalFormatting>
  <conditionalFormatting sqref="Q41">
    <cfRule type="cellIs" dxfId="1094" priority="373" operator="lessThan">
      <formula>0</formula>
    </cfRule>
    <cfRule type="cellIs" dxfId="1093" priority="374" operator="greaterThan">
      <formula>0</formula>
    </cfRule>
  </conditionalFormatting>
  <conditionalFormatting sqref="O42">
    <cfRule type="cellIs" dxfId="1092" priority="371" operator="lessThan">
      <formula>0</formula>
    </cfRule>
    <cfRule type="cellIs" dxfId="1091" priority="372" operator="greaterThan">
      <formula>0</formula>
    </cfRule>
  </conditionalFormatting>
  <conditionalFormatting sqref="O43">
    <cfRule type="cellIs" dxfId="1090" priority="365" operator="lessThan">
      <formula>0</formula>
    </cfRule>
    <cfRule type="cellIs" dxfId="1089" priority="366" operator="greaterThan">
      <formula>0</formula>
    </cfRule>
  </conditionalFormatting>
  <conditionalFormatting sqref="O44">
    <cfRule type="cellIs" dxfId="1088" priority="359" operator="lessThan">
      <formula>0</formula>
    </cfRule>
    <cfRule type="cellIs" dxfId="1087" priority="360" operator="greaterThan">
      <formula>0</formula>
    </cfRule>
  </conditionalFormatting>
  <conditionalFormatting sqref="O45">
    <cfRule type="cellIs" dxfId="1086" priority="353" operator="lessThan">
      <formula>0</formula>
    </cfRule>
    <cfRule type="cellIs" dxfId="1085" priority="354" operator="greaterThan">
      <formula>0</formula>
    </cfRule>
  </conditionalFormatting>
  <conditionalFormatting sqref="Q16">
    <cfRule type="cellIs" dxfId="1084" priority="347" operator="lessThan">
      <formula>0</formula>
    </cfRule>
    <cfRule type="cellIs" dxfId="1083" priority="348" operator="greaterThan">
      <formula>0</formula>
    </cfRule>
  </conditionalFormatting>
  <conditionalFormatting sqref="Q23">
    <cfRule type="cellIs" dxfId="1082" priority="343" operator="lessThan">
      <formula>0</formula>
    </cfRule>
    <cfRule type="cellIs" dxfId="1081" priority="344" operator="greaterThan">
      <formula>0</formula>
    </cfRule>
  </conditionalFormatting>
  <conditionalFormatting sqref="O46">
    <cfRule type="cellIs" dxfId="1080" priority="335" operator="lessThan">
      <formula>0</formula>
    </cfRule>
    <cfRule type="cellIs" dxfId="1079" priority="336" operator="greaterThan">
      <formula>0</formula>
    </cfRule>
  </conditionalFormatting>
  <conditionalFormatting sqref="O47">
    <cfRule type="cellIs" dxfId="1078" priority="329" operator="lessThan">
      <formula>0</formula>
    </cfRule>
    <cfRule type="cellIs" dxfId="1077" priority="330" operator="greaterThan">
      <formula>0</formula>
    </cfRule>
  </conditionalFormatting>
  <conditionalFormatting sqref="O48">
    <cfRule type="cellIs" dxfId="1076" priority="323" operator="lessThan">
      <formula>0</formula>
    </cfRule>
    <cfRule type="cellIs" dxfId="1075" priority="324" operator="greaterThan">
      <formula>0</formula>
    </cfRule>
  </conditionalFormatting>
  <conditionalFormatting sqref="O49">
    <cfRule type="cellIs" dxfId="1074" priority="317" operator="lessThan">
      <formula>0</formula>
    </cfRule>
    <cfRule type="cellIs" dxfId="1073" priority="318" operator="greaterThan">
      <formula>0</formula>
    </cfRule>
  </conditionalFormatting>
  <conditionalFormatting sqref="O50">
    <cfRule type="cellIs" dxfId="1072" priority="311" operator="lessThan">
      <formula>0</formula>
    </cfRule>
    <cfRule type="cellIs" dxfId="1071" priority="312" operator="greaterThan">
      <formula>0</formula>
    </cfRule>
  </conditionalFormatting>
  <conditionalFormatting sqref="Q50">
    <cfRule type="cellIs" dxfId="1070" priority="307" operator="lessThan">
      <formula>0</formula>
    </cfRule>
    <cfRule type="cellIs" dxfId="1069" priority="308" operator="greaterThan">
      <formula>0</formula>
    </cfRule>
  </conditionalFormatting>
  <conditionalFormatting sqref="O51">
    <cfRule type="cellIs" dxfId="1068" priority="301" operator="lessThan">
      <formula>0</formula>
    </cfRule>
    <cfRule type="cellIs" dxfId="1067" priority="302" operator="greaterThan">
      <formula>0</formula>
    </cfRule>
  </conditionalFormatting>
  <conditionalFormatting sqref="O52">
    <cfRule type="cellIs" dxfId="1066" priority="295" operator="lessThan">
      <formula>0</formula>
    </cfRule>
    <cfRule type="cellIs" dxfId="1065" priority="296" operator="greaterThan">
      <formula>0</formula>
    </cfRule>
  </conditionalFormatting>
  <conditionalFormatting sqref="O53">
    <cfRule type="cellIs" dxfId="1064" priority="289" operator="lessThan">
      <formula>0</formula>
    </cfRule>
    <cfRule type="cellIs" dxfId="1063" priority="290" operator="greaterThan">
      <formula>0</formula>
    </cfRule>
  </conditionalFormatting>
  <conditionalFormatting sqref="Q53">
    <cfRule type="cellIs" dxfId="1062" priority="285" operator="lessThan">
      <formula>0</formula>
    </cfRule>
    <cfRule type="cellIs" dxfId="1061" priority="286" operator="greaterThan">
      <formula>0</formula>
    </cfRule>
  </conditionalFormatting>
  <conditionalFormatting sqref="Q51">
    <cfRule type="cellIs" dxfId="1060" priority="283" operator="lessThan">
      <formula>0</formula>
    </cfRule>
    <cfRule type="cellIs" dxfId="1059" priority="284" operator="greaterThan">
      <formula>0</formula>
    </cfRule>
  </conditionalFormatting>
  <conditionalFormatting sqref="Q52">
    <cfRule type="cellIs" dxfId="1058" priority="279" operator="lessThan">
      <formula>0</formula>
    </cfRule>
    <cfRule type="cellIs" dxfId="1057" priority="280" operator="greaterThan">
      <formula>0</formula>
    </cfRule>
  </conditionalFormatting>
  <conditionalFormatting sqref="Q47">
    <cfRule type="cellIs" dxfId="1056" priority="275" operator="lessThan">
      <formula>0</formula>
    </cfRule>
    <cfRule type="cellIs" dxfId="1055" priority="276" operator="greaterThan">
      <formula>0</formula>
    </cfRule>
  </conditionalFormatting>
  <conditionalFormatting sqref="Q43">
    <cfRule type="cellIs" dxfId="1054" priority="271" operator="lessThan">
      <formula>0</formula>
    </cfRule>
    <cfRule type="cellIs" dxfId="1053" priority="272" operator="greaterThan">
      <formula>0</formula>
    </cfRule>
  </conditionalFormatting>
  <conditionalFormatting sqref="Q46">
    <cfRule type="cellIs" dxfId="1052" priority="267" operator="lessThan">
      <formula>0</formula>
    </cfRule>
    <cfRule type="cellIs" dxfId="1051" priority="268" operator="greaterThan">
      <formula>0</formula>
    </cfRule>
  </conditionalFormatting>
  <conditionalFormatting sqref="O54">
    <cfRule type="cellIs" dxfId="1050" priority="263" operator="lessThan">
      <formula>0</formula>
    </cfRule>
    <cfRule type="cellIs" dxfId="1049" priority="264" operator="greaterThan">
      <formula>0</formula>
    </cfRule>
  </conditionalFormatting>
  <conditionalFormatting sqref="Q54">
    <cfRule type="cellIs" dxfId="1048" priority="259" operator="lessThan">
      <formula>0</formula>
    </cfRule>
    <cfRule type="cellIs" dxfId="1047" priority="260" operator="greaterThan">
      <formula>0</formula>
    </cfRule>
  </conditionalFormatting>
  <conditionalFormatting sqref="O55">
    <cfRule type="cellIs" dxfId="1046" priority="257" operator="lessThan">
      <formula>0</formula>
    </cfRule>
    <cfRule type="cellIs" dxfId="1045" priority="258" operator="greaterThan">
      <formula>0</formula>
    </cfRule>
  </conditionalFormatting>
  <conditionalFormatting sqref="Q55">
    <cfRule type="cellIs" dxfId="1044" priority="253" operator="lessThan">
      <formula>0</formula>
    </cfRule>
    <cfRule type="cellIs" dxfId="1043" priority="254" operator="greaterThan">
      <formula>0</formula>
    </cfRule>
  </conditionalFormatting>
  <conditionalFormatting sqref="O56">
    <cfRule type="cellIs" dxfId="1042" priority="251" operator="lessThan">
      <formula>0</formula>
    </cfRule>
    <cfRule type="cellIs" dxfId="1041" priority="252" operator="greaterThan">
      <formula>0</formula>
    </cfRule>
  </conditionalFormatting>
  <conditionalFormatting sqref="Q56">
    <cfRule type="cellIs" dxfId="1040" priority="247" operator="lessThan">
      <formula>0</formula>
    </cfRule>
    <cfRule type="cellIs" dxfId="1039" priority="248" operator="greaterThan">
      <formula>0</formula>
    </cfRule>
  </conditionalFormatting>
  <conditionalFormatting sqref="O57">
    <cfRule type="cellIs" dxfId="1038" priority="245" operator="lessThan">
      <formula>0</formula>
    </cfRule>
    <cfRule type="cellIs" dxfId="1037" priority="246" operator="greaterThan">
      <formula>0</formula>
    </cfRule>
  </conditionalFormatting>
  <conditionalFormatting sqref="Q57">
    <cfRule type="cellIs" dxfId="1036" priority="241" operator="lessThan">
      <formula>0</formula>
    </cfRule>
    <cfRule type="cellIs" dxfId="1035" priority="242" operator="greaterThan">
      <formula>0</formula>
    </cfRule>
  </conditionalFormatting>
  <conditionalFormatting sqref="O58">
    <cfRule type="cellIs" dxfId="1034" priority="239" operator="lessThan">
      <formula>0</formula>
    </cfRule>
    <cfRule type="cellIs" dxfId="1033" priority="240" operator="greaterThan">
      <formula>0</formula>
    </cfRule>
  </conditionalFormatting>
  <conditionalFormatting sqref="O59">
    <cfRule type="cellIs" dxfId="1032" priority="233" operator="lessThan">
      <formula>0</formula>
    </cfRule>
    <cfRule type="cellIs" dxfId="1031" priority="234" operator="greaterThan">
      <formula>0</formula>
    </cfRule>
  </conditionalFormatting>
  <conditionalFormatting sqref="O60">
    <cfRule type="cellIs" dxfId="1030" priority="227" operator="lessThan">
      <formula>0</formula>
    </cfRule>
    <cfRule type="cellIs" dxfId="1029" priority="228" operator="greaterThan">
      <formula>0</formula>
    </cfRule>
  </conditionalFormatting>
  <conditionalFormatting sqref="Q60">
    <cfRule type="cellIs" dxfId="1028" priority="223" operator="lessThan">
      <formula>0</formula>
    </cfRule>
    <cfRule type="cellIs" dxfId="1027" priority="224" operator="greaterThan">
      <formula>0</formula>
    </cfRule>
  </conditionalFormatting>
  <conditionalFormatting sqref="O4">
    <cfRule type="cellIs" dxfId="1026" priority="221" operator="lessThan">
      <formula>0</formula>
    </cfRule>
    <cfRule type="cellIs" dxfId="1025" priority="222" operator="greaterThan">
      <formula>0</formula>
    </cfRule>
  </conditionalFormatting>
  <conditionalFormatting sqref="Q44">
    <cfRule type="cellIs" dxfId="1024" priority="185" operator="lessThan">
      <formula>0</formula>
    </cfRule>
    <cfRule type="cellIs" dxfId="1023" priority="186" operator="greaterThan">
      <formula>0</formula>
    </cfRule>
  </conditionalFormatting>
  <conditionalFormatting sqref="Q30">
    <cfRule type="cellIs" dxfId="1022" priority="215" operator="lessThan">
      <formula>0</formula>
    </cfRule>
    <cfRule type="cellIs" dxfId="1021" priority="216" operator="greaterThan">
      <formula>0</formula>
    </cfRule>
  </conditionalFormatting>
  <conditionalFormatting sqref="Q21">
    <cfRule type="cellIs" dxfId="1020" priority="211" operator="lessThan">
      <formula>0</formula>
    </cfRule>
    <cfRule type="cellIs" dxfId="1019" priority="212" operator="greaterThan">
      <formula>0</formula>
    </cfRule>
  </conditionalFormatting>
  <conditionalFormatting sqref="Q31">
    <cfRule type="cellIs" dxfId="1018" priority="207" operator="lessThan">
      <formula>0</formula>
    </cfRule>
    <cfRule type="cellIs" dxfId="1017" priority="208" operator="greaterThan">
      <formula>0</formula>
    </cfRule>
  </conditionalFormatting>
  <conditionalFormatting sqref="Q25">
    <cfRule type="cellIs" dxfId="1016" priority="173" operator="lessThan">
      <formula>0</formula>
    </cfRule>
    <cfRule type="cellIs" dxfId="1015" priority="174" operator="greaterThan">
      <formula>0</formula>
    </cfRule>
  </conditionalFormatting>
  <conditionalFormatting sqref="O61">
    <cfRule type="cellIs" dxfId="1014" priority="203" operator="lessThan">
      <formula>0</formula>
    </cfRule>
    <cfRule type="cellIs" dxfId="1013" priority="204" operator="greaterThan">
      <formula>0</formula>
    </cfRule>
  </conditionalFormatting>
  <conditionalFormatting sqref="Q26">
    <cfRule type="cellIs" dxfId="1012" priority="197" operator="lessThan">
      <formula>0</formula>
    </cfRule>
    <cfRule type="cellIs" dxfId="1011" priority="198" operator="greaterThan">
      <formula>0</formula>
    </cfRule>
  </conditionalFormatting>
  <conditionalFormatting sqref="Q24">
    <cfRule type="cellIs" dxfId="1010" priority="193" operator="lessThan">
      <formula>0</formula>
    </cfRule>
    <cfRule type="cellIs" dxfId="1009" priority="194" operator="greaterThan">
      <formula>0</formula>
    </cfRule>
  </conditionalFormatting>
  <conditionalFormatting sqref="Q32">
    <cfRule type="cellIs" dxfId="1008" priority="189" operator="lessThan">
      <formula>0</formula>
    </cfRule>
    <cfRule type="cellIs" dxfId="1007" priority="190" operator="greaterThan">
      <formula>0</formula>
    </cfRule>
  </conditionalFormatting>
  <conditionalFormatting sqref="Q28">
    <cfRule type="cellIs" dxfId="1006" priority="181" operator="lessThan">
      <formula>0</formula>
    </cfRule>
    <cfRule type="cellIs" dxfId="1005" priority="182" operator="greaterThan">
      <formula>0</formula>
    </cfRule>
  </conditionalFormatting>
  <conditionalFormatting sqref="Q45">
    <cfRule type="cellIs" dxfId="1004" priority="177" operator="lessThan">
      <formula>0</formula>
    </cfRule>
    <cfRule type="cellIs" dxfId="1003" priority="178" operator="greaterThan">
      <formula>0</formula>
    </cfRule>
  </conditionalFormatting>
  <conditionalFormatting sqref="Q48">
    <cfRule type="cellIs" dxfId="1002" priority="169" operator="lessThan">
      <formula>0</formula>
    </cfRule>
    <cfRule type="cellIs" dxfId="1001" priority="170" operator="greaterThan">
      <formula>0</formula>
    </cfRule>
  </conditionalFormatting>
  <conditionalFormatting sqref="O62">
    <cfRule type="cellIs" dxfId="1000" priority="165" operator="lessThan">
      <formula>0</formula>
    </cfRule>
    <cfRule type="cellIs" dxfId="999" priority="166" operator="greaterThan">
      <formula>0</formula>
    </cfRule>
  </conditionalFormatting>
  <conditionalFormatting sqref="O66">
    <cfRule type="cellIs" dxfId="998" priority="141" operator="lessThan">
      <formula>0</formula>
    </cfRule>
    <cfRule type="cellIs" dxfId="997" priority="142" operator="greaterThan">
      <formula>0</formula>
    </cfRule>
  </conditionalFormatting>
  <conditionalFormatting sqref="O63">
    <cfRule type="cellIs" dxfId="996" priority="159" operator="lessThan">
      <formula>0</formula>
    </cfRule>
    <cfRule type="cellIs" dxfId="995" priority="160" operator="greaterThan">
      <formula>0</formula>
    </cfRule>
  </conditionalFormatting>
  <conditionalFormatting sqref="O64">
    <cfRule type="cellIs" dxfId="994" priority="153" operator="lessThan">
      <formula>0</formula>
    </cfRule>
    <cfRule type="cellIs" dxfId="993" priority="154" operator="greaterThan">
      <formula>0</formula>
    </cfRule>
  </conditionalFormatting>
  <conditionalFormatting sqref="O65">
    <cfRule type="cellIs" dxfId="992" priority="147" operator="lessThan">
      <formula>0</formula>
    </cfRule>
    <cfRule type="cellIs" dxfId="991" priority="148" operator="greaterThan">
      <formula>0</formula>
    </cfRule>
  </conditionalFormatting>
  <conditionalFormatting sqref="O69">
    <cfRule type="cellIs" dxfId="990" priority="115" operator="lessThan">
      <formula>0</formula>
    </cfRule>
    <cfRule type="cellIs" dxfId="989" priority="116" operator="greaterThan">
      <formula>0</formula>
    </cfRule>
  </conditionalFormatting>
  <conditionalFormatting sqref="O67">
    <cfRule type="cellIs" dxfId="988" priority="135" operator="lessThan">
      <formula>0</formula>
    </cfRule>
    <cfRule type="cellIs" dxfId="987" priority="136" operator="greaterThan">
      <formula>0</formula>
    </cfRule>
  </conditionalFormatting>
  <conditionalFormatting sqref="Q68">
    <cfRule type="cellIs" dxfId="986" priority="125" operator="lessThan">
      <formula>0</formula>
    </cfRule>
    <cfRule type="cellIs" dxfId="985" priority="126" operator="greaterThan">
      <formula>0</formula>
    </cfRule>
  </conditionalFormatting>
  <conditionalFormatting sqref="O68">
    <cfRule type="cellIs" dxfId="984" priority="129" operator="lessThan">
      <formula>0</formula>
    </cfRule>
    <cfRule type="cellIs" dxfId="983" priority="130" operator="greaterThan">
      <formula>0</formula>
    </cfRule>
  </conditionalFormatting>
  <conditionalFormatting sqref="Q29">
    <cfRule type="cellIs" dxfId="982" priority="123" operator="lessThan">
      <formula>0</formula>
    </cfRule>
    <cfRule type="cellIs" dxfId="981" priority="124" operator="greaterThan">
      <formula>0</formula>
    </cfRule>
  </conditionalFormatting>
  <conditionalFormatting sqref="Q27">
    <cfRule type="cellIs" dxfId="980" priority="119" operator="lessThan">
      <formula>0</formula>
    </cfRule>
    <cfRule type="cellIs" dxfId="979" priority="120" operator="greaterThan">
      <formula>0</formula>
    </cfRule>
  </conditionalFormatting>
  <conditionalFormatting sqref="O70">
    <cfRule type="cellIs" dxfId="978" priority="109" operator="lessThan">
      <formula>0</formula>
    </cfRule>
    <cfRule type="cellIs" dxfId="977" priority="110" operator="greaterThan">
      <formula>0</formula>
    </cfRule>
  </conditionalFormatting>
  <conditionalFormatting sqref="O71">
    <cfRule type="cellIs" dxfId="976" priority="103" operator="lessThan">
      <formula>0</formula>
    </cfRule>
    <cfRule type="cellIs" dxfId="975" priority="104" operator="greaterThan">
      <formula>0</formula>
    </cfRule>
  </conditionalFormatting>
  <conditionalFormatting sqref="Q49">
    <cfRule type="cellIs" dxfId="974" priority="97" operator="lessThan">
      <formula>0</formula>
    </cfRule>
    <cfRule type="cellIs" dxfId="973" priority="98" operator="greaterThan">
      <formula>0</formula>
    </cfRule>
  </conditionalFormatting>
  <conditionalFormatting sqref="O72">
    <cfRule type="cellIs" dxfId="972" priority="93" operator="lessThan">
      <formula>0</formula>
    </cfRule>
    <cfRule type="cellIs" dxfId="971" priority="94" operator="greaterThan">
      <formula>0</formula>
    </cfRule>
  </conditionalFormatting>
  <conditionalFormatting sqref="Q72">
    <cfRule type="cellIs" dxfId="970" priority="89" operator="lessThan">
      <formula>0</formula>
    </cfRule>
    <cfRule type="cellIs" dxfId="969" priority="90" operator="greaterThan">
      <formula>0</formula>
    </cfRule>
  </conditionalFormatting>
  <conditionalFormatting sqref="O73">
    <cfRule type="cellIs" dxfId="968" priority="87" operator="lessThan">
      <formula>0</formula>
    </cfRule>
    <cfRule type="cellIs" dxfId="967" priority="88" operator="greaterThan">
      <formula>0</formula>
    </cfRule>
  </conditionalFormatting>
  <conditionalFormatting sqref="Q73">
    <cfRule type="cellIs" dxfId="966" priority="83" operator="lessThan">
      <formula>0</formula>
    </cfRule>
    <cfRule type="cellIs" dxfId="965" priority="84" operator="greaterThan">
      <formula>0</formula>
    </cfRule>
  </conditionalFormatting>
  <conditionalFormatting sqref="Q59">
    <cfRule type="cellIs" dxfId="964" priority="51" operator="lessThan">
      <formula>0</formula>
    </cfRule>
    <cfRule type="cellIs" dxfId="963" priority="52" operator="greaterThan">
      <formula>0</formula>
    </cfRule>
  </conditionalFormatting>
  <conditionalFormatting sqref="O74">
    <cfRule type="cellIs" dxfId="962" priority="77" operator="lessThan">
      <formula>0</formula>
    </cfRule>
    <cfRule type="cellIs" dxfId="961" priority="78" operator="greaterThan">
      <formula>0</formula>
    </cfRule>
  </conditionalFormatting>
  <conditionalFormatting sqref="Q74">
    <cfRule type="cellIs" dxfId="960" priority="73" operator="lessThan">
      <formula>0</formula>
    </cfRule>
    <cfRule type="cellIs" dxfId="959" priority="74" operator="greaterThan">
      <formula>0</formula>
    </cfRule>
  </conditionalFormatting>
  <conditionalFormatting sqref="Q70">
    <cfRule type="cellIs" dxfId="958" priority="53" operator="lessThan">
      <formula>0</formula>
    </cfRule>
    <cfRule type="cellIs" dxfId="957" priority="54" operator="greaterThan">
      <formula>0</formula>
    </cfRule>
  </conditionalFormatting>
  <conditionalFormatting sqref="Q67">
    <cfRule type="cellIs" dxfId="956" priority="67" operator="lessThan">
      <formula>0</formula>
    </cfRule>
    <cfRule type="cellIs" dxfId="955" priority="68" operator="greaterThan">
      <formula>0</formula>
    </cfRule>
  </conditionalFormatting>
  <conditionalFormatting sqref="O75">
    <cfRule type="cellIs" dxfId="954" priority="63" operator="lessThan">
      <formula>0</formula>
    </cfRule>
    <cfRule type="cellIs" dxfId="953" priority="64" operator="greaterThan">
      <formula>0</formula>
    </cfRule>
  </conditionalFormatting>
  <conditionalFormatting sqref="Q75">
    <cfRule type="cellIs" dxfId="952" priority="59" operator="lessThan">
      <formula>0</formula>
    </cfRule>
    <cfRule type="cellIs" dxfId="951" priority="60" operator="greaterThan">
      <formula>0</formula>
    </cfRule>
  </conditionalFormatting>
  <conditionalFormatting sqref="Q58">
    <cfRule type="cellIs" dxfId="950" priority="57" operator="lessThan">
      <formula>0</formula>
    </cfRule>
    <cfRule type="cellIs" dxfId="949" priority="58" operator="greaterThan">
      <formula>0</formula>
    </cfRule>
  </conditionalFormatting>
  <conditionalFormatting sqref="Q64">
    <cfRule type="cellIs" dxfId="948" priority="55" operator="lessThan">
      <formula>0</formula>
    </cfRule>
    <cfRule type="cellIs" dxfId="947" priority="56" operator="greaterThan">
      <formula>0</formula>
    </cfRule>
  </conditionalFormatting>
  <conditionalFormatting sqref="O76">
    <cfRule type="cellIs" dxfId="946" priority="49" operator="lessThan">
      <formula>0</formula>
    </cfRule>
    <cfRule type="cellIs" dxfId="945" priority="50" operator="greaterThan">
      <formula>0</formula>
    </cfRule>
  </conditionalFormatting>
  <conditionalFormatting sqref="Q76">
    <cfRule type="cellIs" dxfId="944" priority="47" operator="lessThan">
      <formula>0</formula>
    </cfRule>
    <cfRule type="cellIs" dxfId="943" priority="48" operator="greaterThan">
      <formula>0</formula>
    </cfRule>
  </conditionalFormatting>
  <conditionalFormatting sqref="Q4">
    <cfRule type="cellIs" dxfId="942" priority="45" operator="lessThan">
      <formula>0</formula>
    </cfRule>
    <cfRule type="cellIs" dxfId="941" priority="46" operator="greaterThan">
      <formula>0</formula>
    </cfRule>
  </conditionalFormatting>
  <conditionalFormatting sqref="Q71">
    <cfRule type="cellIs" dxfId="940" priority="43" operator="lessThan">
      <formula>0</formula>
    </cfRule>
    <cfRule type="cellIs" dxfId="939" priority="44" operator="greaterThan">
      <formula>0</formula>
    </cfRule>
  </conditionalFormatting>
  <conditionalFormatting sqref="Q65">
    <cfRule type="cellIs" dxfId="938" priority="41" operator="lessThan">
      <formula>0</formula>
    </cfRule>
    <cfRule type="cellIs" dxfId="937" priority="42" operator="greaterThan">
      <formula>0</formula>
    </cfRule>
  </conditionalFormatting>
  <conditionalFormatting sqref="Q61">
    <cfRule type="cellIs" dxfId="936" priority="39" operator="lessThan">
      <formula>0</formula>
    </cfRule>
    <cfRule type="cellIs" dxfId="935" priority="40" operator="greaterThan">
      <formula>0</formula>
    </cfRule>
  </conditionalFormatting>
  <conditionalFormatting sqref="Q63">
    <cfRule type="cellIs" dxfId="934" priority="37" operator="lessThan">
      <formula>0</formula>
    </cfRule>
    <cfRule type="cellIs" dxfId="933" priority="38" operator="greaterThan">
      <formula>0</formula>
    </cfRule>
  </conditionalFormatting>
  <conditionalFormatting sqref="Q66">
    <cfRule type="cellIs" dxfId="932" priority="35" operator="lessThan">
      <formula>0</formula>
    </cfRule>
    <cfRule type="cellIs" dxfId="931" priority="36" operator="greaterThan">
      <formula>0</formula>
    </cfRule>
  </conditionalFormatting>
  <conditionalFormatting sqref="Q62">
    <cfRule type="cellIs" dxfId="930" priority="33" operator="lessThan">
      <formula>0</formula>
    </cfRule>
    <cfRule type="cellIs" dxfId="929" priority="34" operator="greaterThan">
      <formula>0</formula>
    </cfRule>
  </conditionalFormatting>
  <conditionalFormatting sqref="Q69">
    <cfRule type="cellIs" dxfId="928" priority="31" operator="lessThan">
      <formula>0</formula>
    </cfRule>
    <cfRule type="cellIs" dxfId="927" priority="32" operator="greaterThan">
      <formula>0</formula>
    </cfRule>
  </conditionalFormatting>
  <conditionalFormatting sqref="O77">
    <cfRule type="cellIs" dxfId="926" priority="29" operator="lessThan">
      <formula>0</formula>
    </cfRule>
    <cfRule type="cellIs" dxfId="925" priority="30" operator="greaterThan">
      <formula>0</formula>
    </cfRule>
  </conditionalFormatting>
  <conditionalFormatting sqref="Q77">
    <cfRule type="cellIs" dxfId="924" priority="27" operator="lessThan">
      <formula>0</formula>
    </cfRule>
    <cfRule type="cellIs" dxfId="923" priority="28" operator="greaterThan">
      <formula>0</formula>
    </cfRule>
  </conditionalFormatting>
  <conditionalFormatting sqref="O78">
    <cfRule type="cellIs" dxfId="922" priority="25" operator="lessThan">
      <formula>0</formula>
    </cfRule>
    <cfRule type="cellIs" dxfId="921" priority="26" operator="greaterThan">
      <formula>0</formula>
    </cfRule>
  </conditionalFormatting>
  <conditionalFormatting sqref="Q78">
    <cfRule type="cellIs" dxfId="920" priority="23" operator="lessThan">
      <formula>0</formula>
    </cfRule>
    <cfRule type="cellIs" dxfId="919" priority="24" operator="greaterThan">
      <formula>0</formula>
    </cfRule>
  </conditionalFormatting>
  <conditionalFormatting sqref="O79">
    <cfRule type="cellIs" dxfId="918" priority="21" operator="lessThan">
      <formula>0</formula>
    </cfRule>
    <cfRule type="cellIs" dxfId="917" priority="22" operator="greaterThan">
      <formula>0</formula>
    </cfRule>
  </conditionalFormatting>
  <conditionalFormatting sqref="Q79">
    <cfRule type="cellIs" dxfId="916" priority="19" operator="lessThan">
      <formula>0</formula>
    </cfRule>
    <cfRule type="cellIs" dxfId="915" priority="20" operator="greaterThan">
      <formula>0</formula>
    </cfRule>
  </conditionalFormatting>
  <conditionalFormatting sqref="O80">
    <cfRule type="cellIs" dxfId="914" priority="17" operator="lessThan">
      <formula>0</formula>
    </cfRule>
    <cfRule type="cellIs" dxfId="913" priority="18" operator="greaterThan">
      <formula>0</formula>
    </cfRule>
  </conditionalFormatting>
  <conditionalFormatting sqref="Q80">
    <cfRule type="cellIs" dxfId="912" priority="15" operator="lessThan">
      <formula>0</formula>
    </cfRule>
    <cfRule type="cellIs" dxfId="911" priority="16" operator="greaterThan">
      <formula>0</formula>
    </cfRule>
  </conditionalFormatting>
  <conditionalFormatting sqref="O81">
    <cfRule type="cellIs" dxfId="910" priority="13" operator="lessThan">
      <formula>0</formula>
    </cfRule>
    <cfRule type="cellIs" dxfId="909" priority="14" operator="greaterThan">
      <formula>0</formula>
    </cfRule>
  </conditionalFormatting>
  <conditionalFormatting sqref="Q81">
    <cfRule type="cellIs" dxfId="908" priority="11" operator="lessThan">
      <formula>0</formula>
    </cfRule>
    <cfRule type="cellIs" dxfId="907" priority="12" operator="greaterThan">
      <formula>0</formula>
    </cfRule>
  </conditionalFormatting>
  <conditionalFormatting sqref="O82">
    <cfRule type="cellIs" dxfId="906" priority="9" operator="lessThan">
      <formula>0</formula>
    </cfRule>
    <cfRule type="cellIs" dxfId="905" priority="10" operator="greaterThan">
      <formula>0</formula>
    </cfRule>
  </conditionalFormatting>
  <conditionalFormatting sqref="Q82">
    <cfRule type="cellIs" dxfId="904" priority="7" operator="lessThan">
      <formula>0</formula>
    </cfRule>
    <cfRule type="cellIs" dxfId="903" priority="8" operator="greaterThan">
      <formula>0</formula>
    </cfRule>
  </conditionalFormatting>
  <conditionalFormatting sqref="O83">
    <cfRule type="cellIs" dxfId="902" priority="5" operator="lessThan">
      <formula>0</formula>
    </cfRule>
    <cfRule type="cellIs" dxfId="901" priority="6" operator="greaterThan">
      <formula>0</formula>
    </cfRule>
  </conditionalFormatting>
  <conditionalFormatting sqref="Q83">
    <cfRule type="cellIs" dxfId="900" priority="3" operator="lessThan">
      <formula>0</formula>
    </cfRule>
    <cfRule type="cellIs" dxfId="899" priority="4" operator="greaterThan">
      <formula>0</formula>
    </cfRule>
  </conditionalFormatting>
  <conditionalFormatting sqref="Q13">
    <cfRule type="cellIs" dxfId="898" priority="1" operator="lessThan">
      <formula>0</formula>
    </cfRule>
    <cfRule type="cellIs" dxfId="897" priority="2" operator="greaterThan">
      <formula>0</formula>
    </cfRule>
  </conditionalFormatting>
  <pageMargins left="0.7" right="0.7" top="0.75" bottom="0.75" header="0.3" footer="0.3"/>
  <pageSetup paperSize="9" orientation="portrait" r:id="rId1"/>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V48"/>
  <sheetViews>
    <sheetView zoomScale="90" zoomScaleNormal="90" workbookViewId="0">
      <pane xSplit="3" ySplit="4" topLeftCell="H5" activePane="bottomRight" state="frozen"/>
      <selection pane="topRight" activeCell="D1" sqref="D1"/>
      <selection pane="bottomLeft" activeCell="A5" sqref="A5"/>
      <selection pane="bottomRight" activeCell="D6" sqref="D6:S6"/>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8.28515625" style="635" bestFit="1" customWidth="1"/>
    <col min="6" max="6" width="18.28515625" bestFit="1" customWidth="1"/>
    <col min="7" max="7" width="18.28515625" style="97" bestFit="1" customWidth="1"/>
    <col min="8" max="9" width="18.28515625" bestFit="1" customWidth="1"/>
    <col min="10" max="19" width="18.28515625" style="5" bestFit="1" customWidth="1"/>
    <col min="20" max="20" width="11.42578125" style="5"/>
    <col min="21" max="21" width="15.42578125" style="5" bestFit="1" customWidth="1"/>
    <col min="22" max="22" width="9.7109375" style="5" bestFit="1" customWidth="1"/>
    <col min="23" max="16384" width="11.42578125" style="5"/>
  </cols>
  <sheetData>
    <row r="1" spans="1:22" ht="23.25" x14ac:dyDescent="0.35">
      <c r="A1" s="156" t="s">
        <v>13</v>
      </c>
      <c r="B1" s="255"/>
      <c r="C1" s="255"/>
    </row>
    <row r="2" spans="1:22" s="178" customFormat="1" ht="12.75" x14ac:dyDescent="0.2">
      <c r="B2" s="297"/>
      <c r="C2" s="297"/>
      <c r="D2" s="181">
        <f>EconomiaT47!S2+7</f>
        <v>42301</v>
      </c>
      <c r="E2" s="181">
        <f>D2+7</f>
        <v>42308</v>
      </c>
      <c r="F2" s="181">
        <f t="shared" ref="F2:S2" si="0">E2+7</f>
        <v>42315</v>
      </c>
      <c r="G2" s="181">
        <f t="shared" si="0"/>
        <v>42322</v>
      </c>
      <c r="H2" s="181">
        <f t="shared" si="0"/>
        <v>42329</v>
      </c>
      <c r="I2" s="181">
        <f t="shared" si="0"/>
        <v>42336</v>
      </c>
      <c r="J2" s="181">
        <f t="shared" si="0"/>
        <v>42343</v>
      </c>
      <c r="K2" s="181">
        <f t="shared" si="0"/>
        <v>42350</v>
      </c>
      <c r="L2" s="181">
        <f t="shared" si="0"/>
        <v>42357</v>
      </c>
      <c r="M2" s="181">
        <f t="shared" si="0"/>
        <v>42364</v>
      </c>
      <c r="N2" s="181">
        <f t="shared" si="0"/>
        <v>42371</v>
      </c>
      <c r="O2" s="181">
        <f t="shared" si="0"/>
        <v>42378</v>
      </c>
      <c r="P2" s="181">
        <f t="shared" si="0"/>
        <v>42385</v>
      </c>
      <c r="Q2" s="181">
        <f t="shared" si="0"/>
        <v>42392</v>
      </c>
      <c r="R2" s="181">
        <f t="shared" si="0"/>
        <v>42399</v>
      </c>
      <c r="S2" s="181">
        <f t="shared" si="0"/>
        <v>42406</v>
      </c>
      <c r="T2" s="181"/>
    </row>
    <row r="3" spans="1:22" s="6" customFormat="1" x14ac:dyDescent="0.25">
      <c r="A3" s="27"/>
      <c r="B3" s="27"/>
      <c r="C3" s="298" t="s">
        <v>2412</v>
      </c>
      <c r="D3" s="148" t="s">
        <v>16</v>
      </c>
      <c r="E3" s="148" t="s">
        <v>715</v>
      </c>
      <c r="F3" s="148" t="s">
        <v>702</v>
      </c>
      <c r="G3" s="148" t="s">
        <v>703</v>
      </c>
      <c r="H3" s="148" t="s">
        <v>704</v>
      </c>
      <c r="I3" s="148" t="s">
        <v>705</v>
      </c>
      <c r="J3" s="148" t="s">
        <v>21</v>
      </c>
      <c r="K3" s="148" t="s">
        <v>22</v>
      </c>
      <c r="L3" s="148" t="s">
        <v>23</v>
      </c>
      <c r="M3" s="148" t="s">
        <v>17</v>
      </c>
      <c r="N3" s="148" t="s">
        <v>18</v>
      </c>
      <c r="O3" s="148" t="s">
        <v>24</v>
      </c>
      <c r="P3" s="148" t="s">
        <v>25</v>
      </c>
      <c r="Q3" s="148" t="s">
        <v>26</v>
      </c>
      <c r="R3" s="148" t="s">
        <v>27</v>
      </c>
      <c r="S3" s="159" t="s">
        <v>28</v>
      </c>
    </row>
    <row r="4" spans="1:22" s="6" customFormat="1" x14ac:dyDescent="0.25">
      <c r="A4" s="27"/>
      <c r="B4" s="298"/>
      <c r="C4" s="298" t="s">
        <v>42</v>
      </c>
      <c r="D4" s="215">
        <v>2189</v>
      </c>
      <c r="E4" s="215">
        <f>D4+(D11/30)-11</f>
        <v>2178</v>
      </c>
      <c r="F4" s="215">
        <f t="shared" ref="F4:S4" si="1">E4+(E11/30)</f>
        <v>2181</v>
      </c>
      <c r="G4" s="215">
        <f t="shared" si="1"/>
        <v>2186</v>
      </c>
      <c r="H4" s="215">
        <f t="shared" si="1"/>
        <v>2192</v>
      </c>
      <c r="I4" s="215">
        <f t="shared" si="1"/>
        <v>2198</v>
      </c>
      <c r="J4" s="215">
        <f t="shared" si="1"/>
        <v>2201</v>
      </c>
      <c r="K4" s="215">
        <f t="shared" si="1"/>
        <v>2207</v>
      </c>
      <c r="L4" s="215">
        <f t="shared" si="1"/>
        <v>2213</v>
      </c>
      <c r="M4" s="215">
        <f t="shared" si="1"/>
        <v>2219</v>
      </c>
      <c r="N4" s="215">
        <f t="shared" si="1"/>
        <v>2225</v>
      </c>
      <c r="O4" s="215">
        <f t="shared" si="1"/>
        <v>2229</v>
      </c>
      <c r="P4" s="215">
        <f t="shared" si="1"/>
        <v>2232</v>
      </c>
      <c r="Q4" s="215">
        <f t="shared" si="1"/>
        <v>2238</v>
      </c>
      <c r="R4" s="215">
        <f t="shared" si="1"/>
        <v>2244</v>
      </c>
      <c r="S4" s="503">
        <f t="shared" si="1"/>
        <v>2246</v>
      </c>
    </row>
    <row r="5" spans="1:22" s="7" customFormat="1" ht="18.75" x14ac:dyDescent="0.3">
      <c r="A5" s="29" t="s">
        <v>12</v>
      </c>
      <c r="B5" s="29"/>
      <c r="C5" s="296">
        <f>EconomiaT47!S24</f>
        <v>1879587.2279143557</v>
      </c>
      <c r="D5" s="197">
        <f>C5</f>
        <v>1879587.2279143557</v>
      </c>
      <c r="E5" s="197">
        <f>D24</f>
        <v>610550.2279143557</v>
      </c>
      <c r="F5" s="197">
        <f t="shared" ref="F5:S5" si="2">E24</f>
        <v>744907.2279143557</v>
      </c>
      <c r="G5" s="197">
        <f t="shared" si="2"/>
        <v>673178.2279143557</v>
      </c>
      <c r="H5" s="197">
        <f t="shared" si="2"/>
        <v>1293996.2279143557</v>
      </c>
      <c r="I5" s="197">
        <f t="shared" si="2"/>
        <v>1298150.2279143557</v>
      </c>
      <c r="J5" s="197">
        <f t="shared" si="2"/>
        <v>1955681.2279143557</v>
      </c>
      <c r="K5" s="197">
        <f t="shared" si="2"/>
        <v>1884370.2279143557</v>
      </c>
      <c r="L5" s="197">
        <f t="shared" si="2"/>
        <v>2097779.2279143557</v>
      </c>
      <c r="M5" s="197">
        <f t="shared" si="2"/>
        <v>1936642.2279143557</v>
      </c>
      <c r="N5" s="197">
        <f t="shared" si="2"/>
        <v>2220651.5889290832</v>
      </c>
      <c r="O5" s="197">
        <f t="shared" si="2"/>
        <v>2030820.5889290832</v>
      </c>
      <c r="P5" s="197">
        <f t="shared" si="2"/>
        <v>2457873.5889290832</v>
      </c>
      <c r="Q5" s="197">
        <f t="shared" si="2"/>
        <v>2152036.5889290832</v>
      </c>
      <c r="R5" s="197">
        <f t="shared" si="2"/>
        <v>1962126.5889290832</v>
      </c>
      <c r="S5" s="198">
        <f t="shared" si="2"/>
        <v>1724163.5889290832</v>
      </c>
    </row>
    <row r="6" spans="1:22" x14ac:dyDescent="0.25">
      <c r="A6" s="8" t="s">
        <v>0</v>
      </c>
      <c r="B6" s="8" t="s">
        <v>0</v>
      </c>
      <c r="C6" s="199">
        <f>SUM(D6:S6)</f>
        <v>4812147</v>
      </c>
      <c r="D6" s="202">
        <v>41828</v>
      </c>
      <c r="E6" s="202">
        <v>442905</v>
      </c>
      <c r="F6" s="202">
        <v>81660</v>
      </c>
      <c r="G6" s="202">
        <v>479835</v>
      </c>
      <c r="H6" s="202">
        <v>140987</v>
      </c>
      <c r="I6" s="202">
        <f>462391+364560</f>
        <v>826951</v>
      </c>
      <c r="J6" s="202">
        <v>53583</v>
      </c>
      <c r="K6" s="202">
        <f>465532+73788</f>
        <v>539320</v>
      </c>
      <c r="L6" s="202">
        <v>162541</v>
      </c>
      <c r="M6" s="624">
        <f>436192+144058</f>
        <v>580250</v>
      </c>
      <c r="N6" s="624">
        <v>146605</v>
      </c>
      <c r="O6" s="624">
        <f>526075+199485</f>
        <v>725560</v>
      </c>
      <c r="P6" s="624">
        <v>20603</v>
      </c>
      <c r="Q6" s="624">
        <v>519274</v>
      </c>
      <c r="R6" s="624">
        <v>19738</v>
      </c>
      <c r="S6" s="201">
        <v>30507</v>
      </c>
      <c r="U6" s="8" t="s">
        <v>0</v>
      </c>
      <c r="V6" s="219">
        <f>C6/$C$13</f>
        <v>0.21868506490464862</v>
      </c>
    </row>
    <row r="7" spans="1:22" x14ac:dyDescent="0.25">
      <c r="A7" s="8" t="s">
        <v>2</v>
      </c>
      <c r="B7" s="8" t="s">
        <v>2</v>
      </c>
      <c r="C7" s="199">
        <f t="shared" ref="C7:C23" si="3">SUM(D7:S7)</f>
        <v>1952937.3610147275</v>
      </c>
      <c r="D7" s="202">
        <v>78630</v>
      </c>
      <c r="E7" s="202">
        <v>98980</v>
      </c>
      <c r="F7" s="202">
        <v>111930</v>
      </c>
      <c r="G7" s="202">
        <v>119700</v>
      </c>
      <c r="H7" s="202">
        <v>123770</v>
      </c>
      <c r="I7" s="202">
        <v>126175</v>
      </c>
      <c r="J7" s="202">
        <v>127285</v>
      </c>
      <c r="K7" s="202">
        <v>128210</v>
      </c>
      <c r="L7" s="202">
        <v>128765</v>
      </c>
      <c r="M7" s="627">
        <f t="shared" ref="M7" si="4">L7*(1+M42)</f>
        <v>129132.36101472743</v>
      </c>
      <c r="N7" s="624">
        <v>129505</v>
      </c>
      <c r="O7" s="624">
        <v>129690</v>
      </c>
      <c r="P7" s="624">
        <v>129875</v>
      </c>
      <c r="Q7" s="624">
        <v>130245</v>
      </c>
      <c r="R7" s="624">
        <v>130430</v>
      </c>
      <c r="S7" s="542">
        <v>130615</v>
      </c>
      <c r="U7" s="8" t="s">
        <v>2</v>
      </c>
      <c r="V7" s="219">
        <f t="shared" ref="V7:V12" si="5">C7/$C$13</f>
        <v>8.8750038921965368E-2</v>
      </c>
    </row>
    <row r="8" spans="1:22" x14ac:dyDescent="0.25">
      <c r="A8" s="8" t="s">
        <v>3</v>
      </c>
      <c r="B8" s="8" t="s">
        <v>48</v>
      </c>
      <c r="C8" s="199">
        <f t="shared" si="3"/>
        <v>13476722</v>
      </c>
      <c r="D8" s="202">
        <f>2820094-4750</f>
        <v>2815344</v>
      </c>
      <c r="E8" s="202">
        <v>0</v>
      </c>
      <c r="F8" s="202">
        <v>2434590</v>
      </c>
      <c r="G8" s="202">
        <v>1243224</v>
      </c>
      <c r="H8" s="202">
        <v>886744</v>
      </c>
      <c r="I8" s="202">
        <v>0</v>
      </c>
      <c r="J8" s="202">
        <v>854810</v>
      </c>
      <c r="K8" s="202">
        <v>0</v>
      </c>
      <c r="L8" s="202">
        <v>0</v>
      </c>
      <c r="M8" s="627">
        <v>0</v>
      </c>
      <c r="N8" s="624">
        <v>0</v>
      </c>
      <c r="O8" s="624">
        <v>0</v>
      </c>
      <c r="P8" s="624">
        <v>739350</v>
      </c>
      <c r="Q8" s="624">
        <v>0</v>
      </c>
      <c r="R8" s="624">
        <v>0</v>
      </c>
      <c r="S8" s="201">
        <f>3157350+1345310</f>
        <v>4502660</v>
      </c>
      <c r="U8" s="8" t="s">
        <v>48</v>
      </c>
      <c r="V8" s="219">
        <f t="shared" si="5"/>
        <v>0.6124413541963506</v>
      </c>
    </row>
    <row r="9" spans="1:22" x14ac:dyDescent="0.25">
      <c r="A9" s="8"/>
      <c r="B9" s="8" t="s">
        <v>820</v>
      </c>
      <c r="C9" s="199">
        <f t="shared" si="3"/>
        <v>401850</v>
      </c>
      <c r="D9" s="202">
        <v>4750</v>
      </c>
      <c r="E9" s="202">
        <v>0</v>
      </c>
      <c r="F9" s="202">
        <v>0</v>
      </c>
      <c r="G9" s="202">
        <v>0</v>
      </c>
      <c r="H9" s="202">
        <v>0</v>
      </c>
      <c r="I9" s="202">
        <v>0</v>
      </c>
      <c r="J9" s="202">
        <f>192850+31350</f>
        <v>224200</v>
      </c>
      <c r="K9" s="202">
        <v>0</v>
      </c>
      <c r="L9" s="202">
        <v>0</v>
      </c>
      <c r="M9" s="627">
        <v>0</v>
      </c>
      <c r="N9" s="624">
        <v>1900</v>
      </c>
      <c r="O9" s="624">
        <v>0</v>
      </c>
      <c r="P9" s="624">
        <v>170050</v>
      </c>
      <c r="Q9" s="624">
        <v>950</v>
      </c>
      <c r="R9" s="624">
        <v>0</v>
      </c>
      <c r="S9" s="201">
        <v>0</v>
      </c>
      <c r="U9" s="8" t="s">
        <v>820</v>
      </c>
      <c r="V9" s="219">
        <f t="shared" si="5"/>
        <v>1.8261826442943878E-2</v>
      </c>
    </row>
    <row r="10" spans="1:22" x14ac:dyDescent="0.25">
      <c r="A10" s="8" t="s">
        <v>5</v>
      </c>
      <c r="B10" s="8" t="s">
        <v>5</v>
      </c>
      <c r="C10" s="199">
        <f t="shared" si="3"/>
        <v>671600</v>
      </c>
      <c r="D10" s="202">
        <v>22800</v>
      </c>
      <c r="E10" s="202">
        <v>92405</v>
      </c>
      <c r="F10" s="202">
        <v>0</v>
      </c>
      <c r="G10" s="202">
        <v>92710</v>
      </c>
      <c r="H10" s="202">
        <v>0</v>
      </c>
      <c r="I10" s="202">
        <v>42000</v>
      </c>
      <c r="J10" s="202">
        <v>149220</v>
      </c>
      <c r="K10" s="202">
        <v>11858</v>
      </c>
      <c r="L10" s="202">
        <v>21000</v>
      </c>
      <c r="M10" s="624">
        <f>1190+39380</f>
        <v>40570</v>
      </c>
      <c r="N10" s="624">
        <v>1124</v>
      </c>
      <c r="O10" s="624">
        <v>23448</v>
      </c>
      <c r="P10" s="624">
        <v>0</v>
      </c>
      <c r="Q10" s="624">
        <f t="shared" ref="M10:Q11" si="6">P10</f>
        <v>0</v>
      </c>
      <c r="R10" s="624">
        <v>94130</v>
      </c>
      <c r="S10" s="201">
        <v>80335</v>
      </c>
      <c r="U10" s="8" t="s">
        <v>5</v>
      </c>
      <c r="V10" s="219">
        <f t="shared" si="5"/>
        <v>3.0520449518678879E-2</v>
      </c>
    </row>
    <row r="11" spans="1:22" x14ac:dyDescent="0.25">
      <c r="A11" s="728" t="s">
        <v>7</v>
      </c>
      <c r="B11" s="8" t="s">
        <v>42</v>
      </c>
      <c r="C11" s="199">
        <f t="shared" si="3"/>
        <v>69572</v>
      </c>
      <c r="D11" s="202">
        <v>0</v>
      </c>
      <c r="E11" s="202">
        <v>90</v>
      </c>
      <c r="F11" s="202">
        <v>150</v>
      </c>
      <c r="G11" s="202">
        <v>180</v>
      </c>
      <c r="H11" s="202">
        <v>180</v>
      </c>
      <c r="I11" s="202">
        <v>90</v>
      </c>
      <c r="J11" s="202">
        <v>180</v>
      </c>
      <c r="K11" s="202">
        <v>180</v>
      </c>
      <c r="L11" s="202">
        <v>180</v>
      </c>
      <c r="M11" s="624">
        <f t="shared" si="6"/>
        <v>180</v>
      </c>
      <c r="N11" s="624">
        <v>120</v>
      </c>
      <c r="O11" s="624">
        <v>90</v>
      </c>
      <c r="P11" s="624">
        <v>180</v>
      </c>
      <c r="Q11" s="624">
        <f t="shared" si="6"/>
        <v>180</v>
      </c>
      <c r="R11" s="624">
        <v>60</v>
      </c>
      <c r="S11" s="201">
        <f>67472+60</f>
        <v>67532</v>
      </c>
      <c r="U11" s="8" t="s">
        <v>19</v>
      </c>
      <c r="V11" s="219">
        <f t="shared" si="5"/>
        <v>3.1616568104727918E-3</v>
      </c>
    </row>
    <row r="12" spans="1:22" x14ac:dyDescent="0.25">
      <c r="A12" s="729"/>
      <c r="B12" s="8" t="s">
        <v>51</v>
      </c>
      <c r="C12" s="199">
        <f t="shared" si="3"/>
        <v>620090</v>
      </c>
      <c r="D12" s="202">
        <v>0</v>
      </c>
      <c r="E12" s="202">
        <f>D12</f>
        <v>0</v>
      </c>
      <c r="F12" s="202">
        <f t="shared" ref="F12:R12" si="7">E12</f>
        <v>0</v>
      </c>
      <c r="G12" s="202">
        <f t="shared" si="7"/>
        <v>0</v>
      </c>
      <c r="H12" s="202">
        <f t="shared" si="7"/>
        <v>0</v>
      </c>
      <c r="I12" s="202">
        <v>120000</v>
      </c>
      <c r="J12" s="202">
        <v>0</v>
      </c>
      <c r="K12" s="202">
        <f t="shared" si="7"/>
        <v>0</v>
      </c>
      <c r="L12" s="202">
        <f t="shared" si="7"/>
        <v>0</v>
      </c>
      <c r="M12" s="627">
        <f t="shared" si="7"/>
        <v>0</v>
      </c>
      <c r="N12" s="624">
        <f t="shared" si="7"/>
        <v>0</v>
      </c>
      <c r="O12" s="624">
        <v>25090</v>
      </c>
      <c r="P12" s="624">
        <v>0</v>
      </c>
      <c r="Q12" s="624">
        <f t="shared" si="7"/>
        <v>0</v>
      </c>
      <c r="R12" s="624">
        <f t="shared" si="7"/>
        <v>0</v>
      </c>
      <c r="S12" s="201">
        <v>475000</v>
      </c>
      <c r="U12" s="8" t="s">
        <v>51</v>
      </c>
      <c r="V12" s="219">
        <f t="shared" si="5"/>
        <v>2.8179609204939827E-2</v>
      </c>
    </row>
    <row r="13" spans="1:22" s="21" customFormat="1" ht="18.75" x14ac:dyDescent="0.3">
      <c r="A13" s="19" t="s">
        <v>14</v>
      </c>
      <c r="B13" s="20"/>
      <c r="C13" s="203">
        <f t="shared" si="3"/>
        <v>22004918.361014728</v>
      </c>
      <c r="D13" s="204">
        <f t="shared" ref="D13:I13" si="8">SUM(D6:D12)</f>
        <v>2963352</v>
      </c>
      <c r="E13" s="204">
        <f t="shared" si="8"/>
        <v>634380</v>
      </c>
      <c r="F13" s="204">
        <f t="shared" si="8"/>
        <v>2628330</v>
      </c>
      <c r="G13" s="204">
        <f>G12+G11+G10+G9+G8+G7+G6</f>
        <v>1935649</v>
      </c>
      <c r="H13" s="204">
        <f t="shared" si="8"/>
        <v>1151681</v>
      </c>
      <c r="I13" s="204">
        <f t="shared" si="8"/>
        <v>1115216</v>
      </c>
      <c r="J13" s="204">
        <f t="shared" ref="J13:S13" si="9">SUM(J6:J12)</f>
        <v>1409278</v>
      </c>
      <c r="K13" s="204">
        <f t="shared" si="9"/>
        <v>679568</v>
      </c>
      <c r="L13" s="204">
        <f t="shared" si="9"/>
        <v>312486</v>
      </c>
      <c r="M13" s="204">
        <f t="shared" si="9"/>
        <v>750132.36101472739</v>
      </c>
      <c r="N13" s="204">
        <f t="shared" si="9"/>
        <v>279254</v>
      </c>
      <c r="O13" s="204">
        <f t="shared" si="9"/>
        <v>903878</v>
      </c>
      <c r="P13" s="204">
        <f t="shared" si="9"/>
        <v>1060058</v>
      </c>
      <c r="Q13" s="204">
        <f t="shared" si="9"/>
        <v>650649</v>
      </c>
      <c r="R13" s="204">
        <f t="shared" si="9"/>
        <v>244358</v>
      </c>
      <c r="S13" s="205">
        <f t="shared" si="9"/>
        <v>5286649</v>
      </c>
      <c r="V13" s="222">
        <f>SUM(V6:V12)</f>
        <v>0.99999999999999978</v>
      </c>
    </row>
    <row r="14" spans="1:22" ht="18.75" x14ac:dyDescent="0.3">
      <c r="A14" s="22" t="s">
        <v>1</v>
      </c>
      <c r="B14" s="23" t="str">
        <f>A14</f>
        <v>Sueldos</v>
      </c>
      <c r="C14" s="206">
        <f t="shared" si="3"/>
        <v>5744350</v>
      </c>
      <c r="D14" s="207">
        <v>379160</v>
      </c>
      <c r="E14" s="207">
        <v>395424</v>
      </c>
      <c r="F14" s="207">
        <f t="shared" ref="F14:S14" si="10">E14</f>
        <v>395424</v>
      </c>
      <c r="G14" s="207">
        <v>386924</v>
      </c>
      <c r="H14" s="207">
        <v>353312</v>
      </c>
      <c r="I14" s="207">
        <f>342084+3002</f>
        <v>345086</v>
      </c>
      <c r="J14" s="207">
        <v>342474</v>
      </c>
      <c r="K14" s="207">
        <v>352560</v>
      </c>
      <c r="L14" s="207">
        <v>349704</v>
      </c>
      <c r="M14" s="625">
        <f>N14+38</f>
        <v>345204</v>
      </c>
      <c r="N14" s="625">
        <v>345166</v>
      </c>
      <c r="O14" s="625">
        <v>349906</v>
      </c>
      <c r="P14" s="625">
        <v>353422</v>
      </c>
      <c r="Q14" s="625">
        <v>347780</v>
      </c>
      <c r="R14" s="625">
        <v>351402</v>
      </c>
      <c r="S14" s="542">
        <f t="shared" si="10"/>
        <v>351402</v>
      </c>
      <c r="U14" s="744">
        <f>C13</f>
        <v>22004918.361014728</v>
      </c>
      <c r="V14" s="745"/>
    </row>
    <row r="15" spans="1:22" x14ac:dyDescent="0.25">
      <c r="A15" s="22" t="s">
        <v>29</v>
      </c>
      <c r="B15" s="23" t="str">
        <f>A15</f>
        <v xml:space="preserve">Mantenimiento </v>
      </c>
      <c r="C15" s="206">
        <f t="shared" si="3"/>
        <v>665584</v>
      </c>
      <c r="D15" s="207">
        <f>EconomiaT47!S15</f>
        <v>41599</v>
      </c>
      <c r="E15" s="207">
        <f>D15</f>
        <v>41599</v>
      </c>
      <c r="F15" s="207">
        <f t="shared" ref="F15:S15" si="11">E15</f>
        <v>41599</v>
      </c>
      <c r="G15" s="207">
        <f t="shared" si="11"/>
        <v>41599</v>
      </c>
      <c r="H15" s="207">
        <f t="shared" si="11"/>
        <v>41599</v>
      </c>
      <c r="I15" s="207">
        <f t="shared" si="11"/>
        <v>41599</v>
      </c>
      <c r="J15" s="207">
        <f t="shared" si="11"/>
        <v>41599</v>
      </c>
      <c r="K15" s="207">
        <f t="shared" si="11"/>
        <v>41599</v>
      </c>
      <c r="L15" s="207">
        <v>41599</v>
      </c>
      <c r="M15" s="625">
        <f t="shared" si="11"/>
        <v>41599</v>
      </c>
      <c r="N15" s="625">
        <f t="shared" si="11"/>
        <v>41599</v>
      </c>
      <c r="O15" s="625">
        <f t="shared" si="11"/>
        <v>41599</v>
      </c>
      <c r="P15" s="625">
        <f t="shared" si="11"/>
        <v>41599</v>
      </c>
      <c r="Q15" s="625">
        <f t="shared" si="11"/>
        <v>41599</v>
      </c>
      <c r="R15" s="625">
        <f t="shared" si="11"/>
        <v>41599</v>
      </c>
      <c r="S15" s="201">
        <f t="shared" si="11"/>
        <v>41599</v>
      </c>
    </row>
    <row r="16" spans="1:22" x14ac:dyDescent="0.25">
      <c r="A16" s="22" t="s">
        <v>4</v>
      </c>
      <c r="B16" s="23" t="s">
        <v>30</v>
      </c>
      <c r="C16" s="206">
        <f t="shared" si="3"/>
        <v>0</v>
      </c>
      <c r="D16" s="207">
        <v>0</v>
      </c>
      <c r="E16" s="207">
        <f t="shared" ref="E16:S22" si="12">D16</f>
        <v>0</v>
      </c>
      <c r="F16" s="207">
        <f t="shared" si="12"/>
        <v>0</v>
      </c>
      <c r="G16" s="207">
        <f t="shared" si="12"/>
        <v>0</v>
      </c>
      <c r="H16" s="207">
        <f t="shared" si="12"/>
        <v>0</v>
      </c>
      <c r="I16" s="207">
        <f t="shared" si="12"/>
        <v>0</v>
      </c>
      <c r="J16" s="207">
        <f t="shared" si="12"/>
        <v>0</v>
      </c>
      <c r="K16" s="207">
        <f t="shared" si="12"/>
        <v>0</v>
      </c>
      <c r="L16" s="207">
        <f t="shared" si="12"/>
        <v>0</v>
      </c>
      <c r="M16" s="629">
        <f t="shared" si="12"/>
        <v>0</v>
      </c>
      <c r="N16" s="625">
        <f t="shared" si="12"/>
        <v>0</v>
      </c>
      <c r="O16" s="625">
        <f t="shared" si="12"/>
        <v>0</v>
      </c>
      <c r="P16" s="625">
        <f t="shared" si="12"/>
        <v>0</v>
      </c>
      <c r="Q16" s="625">
        <f t="shared" si="12"/>
        <v>0</v>
      </c>
      <c r="R16" s="625">
        <f t="shared" si="12"/>
        <v>0</v>
      </c>
      <c r="S16" s="201">
        <f t="shared" si="12"/>
        <v>0</v>
      </c>
    </row>
    <row r="17" spans="1:22" x14ac:dyDescent="0.25">
      <c r="A17" s="22" t="s">
        <v>6</v>
      </c>
      <c r="B17" s="23" t="str">
        <f>A17</f>
        <v>Empleados</v>
      </c>
      <c r="C17" s="206">
        <f t="shared" si="3"/>
        <v>946560</v>
      </c>
      <c r="D17" s="207">
        <v>60000</v>
      </c>
      <c r="E17" s="207">
        <v>48000</v>
      </c>
      <c r="F17" s="207">
        <f>E17+6000</f>
        <v>54000</v>
      </c>
      <c r="G17" s="207">
        <f t="shared" si="12"/>
        <v>54000</v>
      </c>
      <c r="H17" s="207">
        <f t="shared" si="12"/>
        <v>54000</v>
      </c>
      <c r="I17" s="207">
        <f t="shared" si="12"/>
        <v>54000</v>
      </c>
      <c r="J17" s="207">
        <f t="shared" si="12"/>
        <v>54000</v>
      </c>
      <c r="K17" s="207">
        <f t="shared" si="12"/>
        <v>54000</v>
      </c>
      <c r="L17" s="207">
        <v>64320</v>
      </c>
      <c r="M17" s="625">
        <f t="shared" si="12"/>
        <v>64320</v>
      </c>
      <c r="N17" s="625">
        <f t="shared" si="12"/>
        <v>64320</v>
      </c>
      <c r="O17" s="625">
        <f t="shared" si="12"/>
        <v>64320</v>
      </c>
      <c r="P17" s="625">
        <f t="shared" si="12"/>
        <v>64320</v>
      </c>
      <c r="Q17" s="625">
        <f t="shared" si="12"/>
        <v>64320</v>
      </c>
      <c r="R17" s="625">
        <f t="shared" si="12"/>
        <v>64320</v>
      </c>
      <c r="S17" s="201">
        <f t="shared" si="12"/>
        <v>64320</v>
      </c>
    </row>
    <row r="18" spans="1:22" x14ac:dyDescent="0.25">
      <c r="A18" s="22" t="s">
        <v>8</v>
      </c>
      <c r="B18" s="23" t="str">
        <f>A18</f>
        <v>Juveniles</v>
      </c>
      <c r="C18" s="206">
        <f t="shared" si="3"/>
        <v>245000</v>
      </c>
      <c r="D18" s="207">
        <v>20000</v>
      </c>
      <c r="E18" s="207">
        <v>15000</v>
      </c>
      <c r="F18" s="207">
        <f t="shared" si="12"/>
        <v>15000</v>
      </c>
      <c r="G18" s="207">
        <f t="shared" si="12"/>
        <v>15000</v>
      </c>
      <c r="H18" s="207">
        <f t="shared" si="12"/>
        <v>15000</v>
      </c>
      <c r="I18" s="207">
        <f t="shared" si="12"/>
        <v>15000</v>
      </c>
      <c r="J18" s="207">
        <f t="shared" si="12"/>
        <v>15000</v>
      </c>
      <c r="K18" s="207">
        <f t="shared" si="12"/>
        <v>15000</v>
      </c>
      <c r="L18" s="207">
        <f t="shared" si="12"/>
        <v>15000</v>
      </c>
      <c r="M18" s="625">
        <f t="shared" si="12"/>
        <v>15000</v>
      </c>
      <c r="N18" s="625">
        <f t="shared" si="12"/>
        <v>15000</v>
      </c>
      <c r="O18" s="625">
        <f t="shared" si="12"/>
        <v>15000</v>
      </c>
      <c r="P18" s="625">
        <f t="shared" si="12"/>
        <v>15000</v>
      </c>
      <c r="Q18" s="625">
        <f t="shared" si="12"/>
        <v>15000</v>
      </c>
      <c r="R18" s="625">
        <f t="shared" si="12"/>
        <v>15000</v>
      </c>
      <c r="S18" s="201">
        <f t="shared" si="12"/>
        <v>15000</v>
      </c>
    </row>
    <row r="19" spans="1:22" x14ac:dyDescent="0.25">
      <c r="A19" s="22" t="s">
        <v>9</v>
      </c>
      <c r="B19" s="23" t="s">
        <v>50</v>
      </c>
      <c r="C19" s="206">
        <f t="shared" si="3"/>
        <v>14082044</v>
      </c>
      <c r="D19" s="207">
        <v>3719630</v>
      </c>
      <c r="E19" s="207">
        <v>0</v>
      </c>
      <c r="F19" s="207">
        <v>2187036</v>
      </c>
      <c r="G19" s="207">
        <f>799000+16308</f>
        <v>815308</v>
      </c>
      <c r="H19" s="207">
        <v>683616</v>
      </c>
      <c r="I19" s="207">
        <v>0</v>
      </c>
      <c r="J19" s="207">
        <v>1024516</v>
      </c>
      <c r="K19" s="207">
        <v>0</v>
      </c>
      <c r="L19" s="207">
        <f t="shared" si="12"/>
        <v>0</v>
      </c>
      <c r="M19" s="629">
        <f t="shared" si="12"/>
        <v>0</v>
      </c>
      <c r="N19" s="625">
        <f t="shared" si="12"/>
        <v>0</v>
      </c>
      <c r="O19" s="625">
        <f t="shared" si="12"/>
        <v>0</v>
      </c>
      <c r="P19" s="625">
        <f>703800+14810+65000+924+100000+1020</f>
        <v>885554</v>
      </c>
      <c r="Q19" s="625">
        <v>368860</v>
      </c>
      <c r="R19" s="625">
        <v>0</v>
      </c>
      <c r="S19" s="201">
        <f>2399000+25968+1949000+23556</f>
        <v>4397524</v>
      </c>
    </row>
    <row r="20" spans="1:22" x14ac:dyDescent="0.25">
      <c r="A20" s="763" t="s">
        <v>7</v>
      </c>
      <c r="B20" s="23" t="s">
        <v>11</v>
      </c>
      <c r="C20" s="206">
        <f t="shared" si="3"/>
        <v>0</v>
      </c>
      <c r="D20" s="207">
        <v>0</v>
      </c>
      <c r="E20" s="207">
        <f t="shared" si="12"/>
        <v>0</v>
      </c>
      <c r="F20" s="207">
        <f t="shared" si="12"/>
        <v>0</v>
      </c>
      <c r="G20" s="207">
        <f t="shared" si="12"/>
        <v>0</v>
      </c>
      <c r="H20" s="207">
        <f t="shared" si="12"/>
        <v>0</v>
      </c>
      <c r="I20" s="207">
        <f t="shared" si="12"/>
        <v>0</v>
      </c>
      <c r="J20" s="207">
        <f t="shared" si="12"/>
        <v>0</v>
      </c>
      <c r="K20" s="207">
        <f t="shared" si="12"/>
        <v>0</v>
      </c>
      <c r="L20" s="207">
        <f t="shared" si="12"/>
        <v>0</v>
      </c>
      <c r="M20" s="629">
        <f t="shared" si="12"/>
        <v>0</v>
      </c>
      <c r="N20" s="625">
        <f t="shared" si="12"/>
        <v>0</v>
      </c>
      <c r="O20" s="625">
        <f t="shared" si="12"/>
        <v>0</v>
      </c>
      <c r="P20" s="625">
        <v>0</v>
      </c>
      <c r="Q20" s="625">
        <v>0</v>
      </c>
      <c r="R20" s="625">
        <f t="shared" si="12"/>
        <v>0</v>
      </c>
      <c r="S20" s="201">
        <f t="shared" si="12"/>
        <v>0</v>
      </c>
    </row>
    <row r="21" spans="1:22" x14ac:dyDescent="0.25">
      <c r="A21" s="764"/>
      <c r="B21" s="23" t="s">
        <v>818</v>
      </c>
      <c r="C21" s="206">
        <f t="shared" si="3"/>
        <v>64000</v>
      </c>
      <c r="D21" s="207">
        <v>12000</v>
      </c>
      <c r="E21" s="207">
        <v>0</v>
      </c>
      <c r="F21" s="207">
        <v>7000</v>
      </c>
      <c r="G21" s="207">
        <v>2000</v>
      </c>
      <c r="H21" s="207">
        <v>0</v>
      </c>
      <c r="I21" s="207">
        <v>2000</v>
      </c>
      <c r="J21" s="207">
        <v>3000</v>
      </c>
      <c r="K21" s="207">
        <v>3000</v>
      </c>
      <c r="L21" s="207">
        <v>3000</v>
      </c>
      <c r="M21" s="629">
        <v>0</v>
      </c>
      <c r="N21" s="625">
        <v>3000</v>
      </c>
      <c r="O21" s="625">
        <v>6000</v>
      </c>
      <c r="P21" s="625">
        <v>6000</v>
      </c>
      <c r="Q21" s="625">
        <v>3000</v>
      </c>
      <c r="R21" s="625">
        <v>10000</v>
      </c>
      <c r="S21" s="542">
        <v>4000</v>
      </c>
    </row>
    <row r="22" spans="1:22" x14ac:dyDescent="0.25">
      <c r="A22" s="22" t="s">
        <v>10</v>
      </c>
      <c r="B22" s="23" t="str">
        <f>A22</f>
        <v>Intereses</v>
      </c>
      <c r="C22" s="206">
        <f t="shared" si="3"/>
        <v>0</v>
      </c>
      <c r="D22" s="207">
        <v>0</v>
      </c>
      <c r="E22" s="207">
        <f t="shared" si="12"/>
        <v>0</v>
      </c>
      <c r="F22" s="207">
        <f t="shared" si="12"/>
        <v>0</v>
      </c>
      <c r="G22" s="207">
        <f t="shared" si="12"/>
        <v>0</v>
      </c>
      <c r="H22" s="207">
        <f t="shared" si="12"/>
        <v>0</v>
      </c>
      <c r="I22" s="207">
        <f t="shared" si="12"/>
        <v>0</v>
      </c>
      <c r="J22" s="207">
        <f t="shared" si="12"/>
        <v>0</v>
      </c>
      <c r="K22" s="207">
        <f t="shared" si="12"/>
        <v>0</v>
      </c>
      <c r="L22" s="207">
        <f t="shared" si="12"/>
        <v>0</v>
      </c>
      <c r="M22" s="629">
        <f t="shared" si="12"/>
        <v>0</v>
      </c>
      <c r="N22" s="625">
        <f t="shared" si="12"/>
        <v>0</v>
      </c>
      <c r="O22" s="625">
        <f t="shared" si="12"/>
        <v>0</v>
      </c>
      <c r="P22" s="625">
        <f t="shared" si="12"/>
        <v>0</v>
      </c>
      <c r="Q22" s="625">
        <f t="shared" si="12"/>
        <v>0</v>
      </c>
      <c r="R22" s="625">
        <f t="shared" si="12"/>
        <v>0</v>
      </c>
      <c r="S22" s="201">
        <f t="shared" si="12"/>
        <v>0</v>
      </c>
    </row>
    <row r="23" spans="1:22" s="31" customFormat="1" ht="18.75" x14ac:dyDescent="0.3">
      <c r="A23" s="25" t="s">
        <v>15</v>
      </c>
      <c r="B23" s="26"/>
      <c r="C23" s="209">
        <f t="shared" si="3"/>
        <v>21747538</v>
      </c>
      <c r="D23" s="210">
        <f t="shared" ref="D23:S23" si="13">SUM(D14:D22)</f>
        <v>4232389</v>
      </c>
      <c r="E23" s="210">
        <f t="shared" si="13"/>
        <v>500023</v>
      </c>
      <c r="F23" s="210">
        <f t="shared" si="13"/>
        <v>2700059</v>
      </c>
      <c r="G23" s="210">
        <f t="shared" si="13"/>
        <v>1314831</v>
      </c>
      <c r="H23" s="210">
        <f t="shared" si="13"/>
        <v>1147527</v>
      </c>
      <c r="I23" s="210">
        <f t="shared" si="13"/>
        <v>457685</v>
      </c>
      <c r="J23" s="210">
        <f t="shared" si="13"/>
        <v>1480589</v>
      </c>
      <c r="K23" s="210">
        <f t="shared" si="13"/>
        <v>466159</v>
      </c>
      <c r="L23" s="210">
        <f t="shared" si="13"/>
        <v>473623</v>
      </c>
      <c r="M23" s="210">
        <f t="shared" si="13"/>
        <v>466123</v>
      </c>
      <c r="N23" s="210">
        <f t="shared" si="13"/>
        <v>469085</v>
      </c>
      <c r="O23" s="210">
        <f t="shared" si="13"/>
        <v>476825</v>
      </c>
      <c r="P23" s="210">
        <f t="shared" si="13"/>
        <v>1365895</v>
      </c>
      <c r="Q23" s="210">
        <f t="shared" si="13"/>
        <v>840559</v>
      </c>
      <c r="R23" s="210">
        <f t="shared" si="13"/>
        <v>482321</v>
      </c>
      <c r="S23" s="211">
        <f t="shared" si="13"/>
        <v>4873845</v>
      </c>
      <c r="U23" s="23" t="s">
        <v>1</v>
      </c>
      <c r="V23" s="220">
        <f>C14/$C$23</f>
        <v>0.26413794517797828</v>
      </c>
    </row>
    <row r="24" spans="1:22" s="7" customFormat="1" ht="18.75" x14ac:dyDescent="0.3">
      <c r="A24" s="9" t="s">
        <v>20</v>
      </c>
      <c r="B24" s="9"/>
      <c r="C24" s="197">
        <f>C5+C13-C23</f>
        <v>2136967.5889290832</v>
      </c>
      <c r="D24" s="197">
        <f t="shared" ref="D24:S24" si="14">D5+D13-D23</f>
        <v>610550.2279143557</v>
      </c>
      <c r="E24" s="197">
        <f t="shared" si="14"/>
        <v>744907.2279143557</v>
      </c>
      <c r="F24" s="197">
        <f t="shared" si="14"/>
        <v>673178.2279143557</v>
      </c>
      <c r="G24" s="197">
        <f t="shared" si="14"/>
        <v>1293996.2279143557</v>
      </c>
      <c r="H24" s="197">
        <f t="shared" si="14"/>
        <v>1298150.2279143557</v>
      </c>
      <c r="I24" s="197">
        <f t="shared" si="14"/>
        <v>1955681.2279143557</v>
      </c>
      <c r="J24" s="197">
        <f t="shared" si="14"/>
        <v>1884370.2279143557</v>
      </c>
      <c r="K24" s="197">
        <f t="shared" si="14"/>
        <v>2097779.2279143557</v>
      </c>
      <c r="L24" s="197">
        <f t="shared" si="14"/>
        <v>1936642.2279143557</v>
      </c>
      <c r="M24" s="197">
        <f t="shared" si="14"/>
        <v>2220651.5889290832</v>
      </c>
      <c r="N24" s="197">
        <f t="shared" si="14"/>
        <v>2030820.5889290832</v>
      </c>
      <c r="O24" s="197">
        <f t="shared" si="14"/>
        <v>2457873.5889290832</v>
      </c>
      <c r="P24" s="197">
        <f t="shared" si="14"/>
        <v>2152036.5889290832</v>
      </c>
      <c r="Q24" s="197">
        <f t="shared" si="14"/>
        <v>1962126.5889290832</v>
      </c>
      <c r="R24" s="197">
        <f t="shared" si="14"/>
        <v>1724163.5889290832</v>
      </c>
      <c r="S24" s="198">
        <f t="shared" si="14"/>
        <v>2136967.5889290832</v>
      </c>
      <c r="U24" s="23" t="s">
        <v>29</v>
      </c>
      <c r="V24" s="220">
        <f t="shared" ref="V24:V31" si="15">C15/$C$23</f>
        <v>3.0605027566798594E-2</v>
      </c>
    </row>
    <row r="25" spans="1:22" s="178" customFormat="1" x14ac:dyDescent="0.25">
      <c r="A25" s="182"/>
      <c r="B25" s="182"/>
      <c r="C25" s="182"/>
      <c r="D25" s="183">
        <f>D2+6</f>
        <v>42307</v>
      </c>
      <c r="E25" s="183">
        <f>D25+7</f>
        <v>42314</v>
      </c>
      <c r="F25" s="183">
        <f t="shared" ref="F25:S25" si="16">E25+7</f>
        <v>42321</v>
      </c>
      <c r="G25" s="183">
        <f t="shared" si="16"/>
        <v>42328</v>
      </c>
      <c r="H25" s="183">
        <f t="shared" si="16"/>
        <v>42335</v>
      </c>
      <c r="I25" s="183">
        <f t="shared" si="16"/>
        <v>42342</v>
      </c>
      <c r="J25" s="183">
        <f t="shared" si="16"/>
        <v>42349</v>
      </c>
      <c r="K25" s="183">
        <f t="shared" si="16"/>
        <v>42356</v>
      </c>
      <c r="L25" s="183">
        <f t="shared" si="16"/>
        <v>42363</v>
      </c>
      <c r="M25" s="183">
        <f t="shared" si="16"/>
        <v>42370</v>
      </c>
      <c r="N25" s="183">
        <f t="shared" si="16"/>
        <v>42377</v>
      </c>
      <c r="O25" s="183">
        <f t="shared" si="16"/>
        <v>42384</v>
      </c>
      <c r="P25" s="183">
        <f t="shared" si="16"/>
        <v>42391</v>
      </c>
      <c r="Q25" s="183">
        <f t="shared" si="16"/>
        <v>42398</v>
      </c>
      <c r="R25" s="183">
        <f t="shared" si="16"/>
        <v>42405</v>
      </c>
      <c r="S25" s="184">
        <f t="shared" si="16"/>
        <v>42412</v>
      </c>
      <c r="U25" s="23" t="s">
        <v>30</v>
      </c>
      <c r="V25" s="220">
        <f t="shared" si="15"/>
        <v>0</v>
      </c>
    </row>
    <row r="26" spans="1:22" s="178" customFormat="1" x14ac:dyDescent="0.25">
      <c r="A26" s="768" t="s">
        <v>721</v>
      </c>
      <c r="B26" s="768"/>
      <c r="C26" s="768"/>
      <c r="D26" s="559">
        <v>1619390</v>
      </c>
      <c r="E26" s="559">
        <v>1786490</v>
      </c>
      <c r="F26" s="559">
        <v>1799800</v>
      </c>
      <c r="G26" s="559">
        <v>1616540</v>
      </c>
      <c r="H26" s="559">
        <v>1632300</v>
      </c>
      <c r="I26" s="559">
        <v>1636660</v>
      </c>
      <c r="J26" s="559">
        <v>1693510</v>
      </c>
      <c r="K26" s="559">
        <v>1704200</v>
      </c>
      <c r="L26" s="559">
        <v>1739090</v>
      </c>
      <c r="M26" s="559"/>
      <c r="N26" s="559"/>
      <c r="O26" s="559">
        <v>1740800</v>
      </c>
      <c r="P26" s="559"/>
      <c r="Q26" s="559">
        <v>1819520</v>
      </c>
      <c r="R26" s="559">
        <v>1846760</v>
      </c>
      <c r="S26" s="559">
        <v>1878680</v>
      </c>
      <c r="T26" s="194"/>
      <c r="U26" s="23" t="s">
        <v>6</v>
      </c>
      <c r="V26" s="220">
        <f t="shared" si="15"/>
        <v>4.3524926821601598E-2</v>
      </c>
    </row>
    <row r="27" spans="1:22" s="178" customFormat="1" x14ac:dyDescent="0.25">
      <c r="A27" s="769" t="s">
        <v>1212</v>
      </c>
      <c r="B27" s="769"/>
      <c r="C27" s="769"/>
      <c r="D27" s="560">
        <v>361230</v>
      </c>
      <c r="E27" s="560">
        <v>394620</v>
      </c>
      <c r="F27" s="560">
        <v>395430</v>
      </c>
      <c r="G27" s="560">
        <v>358856</v>
      </c>
      <c r="H27" s="560">
        <v>341640</v>
      </c>
      <c r="I27" s="560">
        <v>341640</v>
      </c>
      <c r="J27" s="560">
        <v>352426</v>
      </c>
      <c r="K27" s="560">
        <v>352386</v>
      </c>
      <c r="L27" s="560">
        <v>349590</v>
      </c>
      <c r="M27" s="560"/>
      <c r="N27" s="560"/>
      <c r="O27" s="560">
        <v>350026</v>
      </c>
      <c r="P27" s="560"/>
      <c r="Q27" s="560">
        <v>350526</v>
      </c>
      <c r="R27" s="560">
        <v>350958</v>
      </c>
      <c r="S27" s="560">
        <v>350958</v>
      </c>
      <c r="T27" s="195"/>
      <c r="U27" s="23" t="s">
        <v>8</v>
      </c>
      <c r="V27" s="220">
        <f t="shared" si="15"/>
        <v>1.1265643035087466E-2</v>
      </c>
    </row>
    <row r="28" spans="1:22" x14ac:dyDescent="0.25">
      <c r="A28" s="770" t="s">
        <v>1985</v>
      </c>
      <c r="B28" s="770"/>
      <c r="C28" s="770"/>
      <c r="D28" s="561">
        <v>1521060</v>
      </c>
      <c r="E28" s="561">
        <v>1503620</v>
      </c>
      <c r="F28" s="561">
        <v>1524360</v>
      </c>
      <c r="G28" s="561">
        <v>1370370</v>
      </c>
      <c r="H28" s="561">
        <v>1395000</v>
      </c>
      <c r="I28" s="561">
        <v>1408960</v>
      </c>
      <c r="J28" s="561">
        <v>1430630</v>
      </c>
      <c r="K28" s="561">
        <v>1437210</v>
      </c>
      <c r="L28" s="561">
        <v>1458430</v>
      </c>
      <c r="M28" s="561"/>
      <c r="N28" s="561"/>
      <c r="O28" s="561">
        <v>1464800</v>
      </c>
      <c r="P28" s="561"/>
      <c r="Q28" s="561">
        <v>1511780</v>
      </c>
      <c r="R28" s="561">
        <v>1539220</v>
      </c>
      <c r="S28" s="561">
        <v>1573400</v>
      </c>
      <c r="T28" s="192"/>
      <c r="U28" s="23" t="s">
        <v>50</v>
      </c>
      <c r="V28" s="220">
        <f t="shared" si="15"/>
        <v>0.64752359554447037</v>
      </c>
    </row>
    <row r="29" spans="1:22" x14ac:dyDescent="0.25">
      <c r="A29" s="768" t="s">
        <v>1986</v>
      </c>
      <c r="B29" s="768"/>
      <c r="C29" s="768"/>
      <c r="D29" s="562">
        <v>326158</v>
      </c>
      <c r="E29" s="562">
        <v>301300</v>
      </c>
      <c r="F29" s="562">
        <v>301684</v>
      </c>
      <c r="G29" s="562">
        <v>265920</v>
      </c>
      <c r="H29" s="562">
        <v>257952</v>
      </c>
      <c r="I29" s="562">
        <v>257952</v>
      </c>
      <c r="J29" s="562">
        <v>257952</v>
      </c>
      <c r="K29" s="562">
        <v>261852</v>
      </c>
      <c r="L29" s="562">
        <v>273744</v>
      </c>
      <c r="M29" s="562"/>
      <c r="N29" s="562"/>
      <c r="O29" s="562">
        <v>265620</v>
      </c>
      <c r="P29" s="562"/>
      <c r="Q29" s="562">
        <v>268122</v>
      </c>
      <c r="R29" s="562">
        <v>276774</v>
      </c>
      <c r="S29" s="562">
        <v>276774</v>
      </c>
      <c r="T29" s="192"/>
      <c r="U29" s="23" t="s">
        <v>11</v>
      </c>
      <c r="V29" s="220">
        <f t="shared" si="15"/>
        <v>0</v>
      </c>
    </row>
    <row r="30" spans="1:22" s="6" customFormat="1" x14ac:dyDescent="0.25">
      <c r="A30" s="769" t="s">
        <v>1987</v>
      </c>
      <c r="B30" s="769"/>
      <c r="C30" s="769"/>
      <c r="D30" s="563">
        <v>5.25</v>
      </c>
      <c r="E30" s="563">
        <v>5.25</v>
      </c>
      <c r="F30" s="563">
        <v>5.5</v>
      </c>
      <c r="G30" s="563">
        <v>5.5</v>
      </c>
      <c r="H30" s="563">
        <v>5.75</v>
      </c>
      <c r="I30" s="563">
        <v>5.75</v>
      </c>
      <c r="J30" s="563">
        <v>6</v>
      </c>
      <c r="K30" s="563">
        <v>6.25</v>
      </c>
      <c r="L30" s="563">
        <v>6</v>
      </c>
      <c r="M30" s="563"/>
      <c r="N30" s="563"/>
      <c r="O30" s="563">
        <v>6</v>
      </c>
      <c r="P30" s="563"/>
      <c r="Q30" s="563">
        <v>6.5</v>
      </c>
      <c r="R30" s="563">
        <v>6.5</v>
      </c>
      <c r="S30" s="563">
        <v>6.5</v>
      </c>
      <c r="U30" s="23" t="s">
        <v>818</v>
      </c>
      <c r="V30" s="220">
        <f t="shared" si="15"/>
        <v>2.9428618540636646E-3</v>
      </c>
    </row>
    <row r="31" spans="1:22" s="6" customFormat="1" x14ac:dyDescent="0.25">
      <c r="A31" s="770" t="s">
        <v>1988</v>
      </c>
      <c r="B31" s="770"/>
      <c r="C31" s="770"/>
      <c r="D31" s="564">
        <v>6.5</v>
      </c>
      <c r="E31" s="564">
        <v>6.75</v>
      </c>
      <c r="F31" s="564">
        <v>6.75</v>
      </c>
      <c r="G31" s="564">
        <v>6.75</v>
      </c>
      <c r="H31" s="564">
        <v>6.75</v>
      </c>
      <c r="I31" s="564">
        <v>6.75</v>
      </c>
      <c r="J31" s="564">
        <v>6.75</v>
      </c>
      <c r="K31" s="564">
        <v>6.75</v>
      </c>
      <c r="L31" s="564">
        <v>6.75</v>
      </c>
      <c r="M31" s="564"/>
      <c r="N31" s="564"/>
      <c r="O31" s="564">
        <v>6.75</v>
      </c>
      <c r="P31" s="564"/>
      <c r="Q31" s="564">
        <v>6.75</v>
      </c>
      <c r="R31" s="564">
        <v>6.75</v>
      </c>
      <c r="S31" s="564">
        <v>6.75</v>
      </c>
      <c r="U31" s="23" t="s">
        <v>10</v>
      </c>
      <c r="V31" s="220">
        <f t="shared" si="15"/>
        <v>0</v>
      </c>
    </row>
    <row r="32" spans="1:22" s="6" customFormat="1" x14ac:dyDescent="0.25">
      <c r="A32" s="768" t="s">
        <v>1989</v>
      </c>
      <c r="B32" s="768"/>
      <c r="C32" s="768"/>
      <c r="D32" s="562" t="s">
        <v>2424</v>
      </c>
      <c r="E32" s="562" t="s">
        <v>2427</v>
      </c>
      <c r="F32" s="562" t="s">
        <v>2428</v>
      </c>
      <c r="G32" s="562" t="s">
        <v>2494</v>
      </c>
      <c r="H32" s="562" t="s">
        <v>2496</v>
      </c>
      <c r="I32" s="562" t="s">
        <v>2497</v>
      </c>
      <c r="J32" s="562" t="s">
        <v>2498</v>
      </c>
      <c r="K32" s="562" t="s">
        <v>2498</v>
      </c>
      <c r="L32" s="562" t="s">
        <v>2503</v>
      </c>
      <c r="M32" s="562"/>
      <c r="N32" s="562"/>
      <c r="O32" s="562" t="s">
        <v>2505</v>
      </c>
      <c r="P32" s="562"/>
      <c r="Q32" s="562" t="s">
        <v>2515</v>
      </c>
      <c r="R32" s="562" t="s">
        <v>2516</v>
      </c>
      <c r="S32" s="562" t="s">
        <v>2517</v>
      </c>
    </row>
    <row r="33" spans="1:22" s="6" customFormat="1" x14ac:dyDescent="0.25">
      <c r="A33" s="769" t="s">
        <v>1990</v>
      </c>
      <c r="B33" s="769"/>
      <c r="C33" s="769"/>
      <c r="D33" s="563">
        <v>6</v>
      </c>
      <c r="E33" s="563">
        <v>6</v>
      </c>
      <c r="F33" s="563">
        <v>5.75</v>
      </c>
      <c r="G33" s="563">
        <v>5.75</v>
      </c>
      <c r="H33" s="563">
        <v>6</v>
      </c>
      <c r="I33" s="563">
        <v>6</v>
      </c>
      <c r="J33" s="563">
        <v>6</v>
      </c>
      <c r="K33" s="563">
        <v>6</v>
      </c>
      <c r="L33" s="563">
        <v>6.75</v>
      </c>
      <c r="M33" s="563"/>
      <c r="N33" s="563"/>
      <c r="O33" s="563">
        <v>6.5</v>
      </c>
      <c r="P33" s="563"/>
      <c r="Q33" s="563">
        <v>6.5</v>
      </c>
      <c r="R33" s="563">
        <v>6.25</v>
      </c>
      <c r="S33" s="563">
        <v>6.25</v>
      </c>
    </row>
    <row r="34" spans="1:22" s="6" customFormat="1" ht="18.75" x14ac:dyDescent="0.3">
      <c r="A34" s="192"/>
      <c r="B34" s="192"/>
      <c r="C34" s="192"/>
      <c r="D34" s="192"/>
      <c r="E34" s="192"/>
      <c r="F34" s="192"/>
      <c r="G34" s="192"/>
      <c r="H34" s="192"/>
      <c r="I34" s="192"/>
      <c r="J34" s="192"/>
      <c r="K34" s="192"/>
      <c r="L34" s="192"/>
      <c r="M34" s="192"/>
      <c r="N34" s="192"/>
      <c r="O34" s="192"/>
      <c r="P34" s="192"/>
      <c r="Q34" s="192"/>
      <c r="R34" s="192"/>
      <c r="S34" s="192"/>
      <c r="V34" s="221">
        <f>SUM(V23:V31)</f>
        <v>1</v>
      </c>
    </row>
    <row r="35" spans="1:22" s="6" customFormat="1" ht="18.75" x14ac:dyDescent="0.3">
      <c r="A35" s="27"/>
      <c r="B35" s="752" t="s">
        <v>821</v>
      </c>
      <c r="C35" s="167" t="s">
        <v>819</v>
      </c>
      <c r="D35" s="189">
        <v>16068811</v>
      </c>
      <c r="E35" s="189">
        <v>16068811</v>
      </c>
      <c r="F35" s="189">
        <v>13869078</v>
      </c>
      <c r="G35" s="189">
        <v>15167078</v>
      </c>
      <c r="H35" s="189">
        <v>15167078</v>
      </c>
      <c r="I35" s="189">
        <v>15167078</v>
      </c>
      <c r="J35" s="189">
        <v>15160562</v>
      </c>
      <c r="K35" s="189">
        <v>15160562</v>
      </c>
      <c r="L35" s="189">
        <f>'A-P_T48'!$C$14</f>
        <v>15059262</v>
      </c>
      <c r="M35" s="189"/>
      <c r="N35" s="189"/>
      <c r="O35" s="189">
        <v>15160562</v>
      </c>
      <c r="P35" s="189">
        <v>15160562</v>
      </c>
      <c r="Q35" s="189">
        <v>15160562</v>
      </c>
      <c r="R35" s="189">
        <v>15160562</v>
      </c>
      <c r="S35" s="189">
        <v>15059262</v>
      </c>
      <c r="U35" s="746">
        <f>C23</f>
        <v>21747538</v>
      </c>
      <c r="V35" s="747"/>
    </row>
    <row r="36" spans="1:22" x14ac:dyDescent="0.25">
      <c r="A36" s="27"/>
      <c r="B36" s="753"/>
      <c r="C36" s="167" t="s">
        <v>481</v>
      </c>
      <c r="D36" s="189">
        <v>16200299</v>
      </c>
      <c r="E36" s="189">
        <v>16200299</v>
      </c>
      <c r="F36" s="189">
        <v>16200299</v>
      </c>
      <c r="G36" s="189">
        <v>15731727</v>
      </c>
      <c r="H36" s="189">
        <v>15363263</v>
      </c>
      <c r="I36" s="189">
        <v>15363263</v>
      </c>
      <c r="J36" s="189">
        <v>15692071</v>
      </c>
      <c r="K36" s="189">
        <v>15692071</v>
      </c>
      <c r="L36" s="189">
        <f>'A-P_T48'!$C$13</f>
        <v>16308608</v>
      </c>
      <c r="M36" s="189"/>
      <c r="N36" s="189"/>
      <c r="O36" s="189">
        <v>15692071</v>
      </c>
      <c r="P36" s="189">
        <v>15676608</v>
      </c>
      <c r="Q36" s="189">
        <v>15676608</v>
      </c>
      <c r="R36" s="189">
        <v>15676608</v>
      </c>
      <c r="S36" s="189">
        <v>16308608</v>
      </c>
    </row>
    <row r="37" spans="1:22" x14ac:dyDescent="0.25">
      <c r="A37" s="27"/>
      <c r="B37" s="753"/>
      <c r="C37" s="167" t="s">
        <v>1385</v>
      </c>
      <c r="D37" s="189">
        <v>0</v>
      </c>
      <c r="E37" s="189">
        <v>0</v>
      </c>
      <c r="F37" s="189">
        <v>0</v>
      </c>
      <c r="G37" s="189">
        <v>0</v>
      </c>
      <c r="H37" s="189">
        <v>0</v>
      </c>
      <c r="I37" s="189">
        <v>0</v>
      </c>
      <c r="J37" s="189">
        <v>0</v>
      </c>
      <c r="K37" s="189">
        <v>0</v>
      </c>
      <c r="L37" s="189">
        <f>'A-P_T48'!$C$12+'A-P_T48'!$C$15</f>
        <v>530380</v>
      </c>
      <c r="M37" s="189"/>
      <c r="N37" s="189"/>
      <c r="O37" s="189">
        <v>0</v>
      </c>
      <c r="P37" s="189">
        <v>165000</v>
      </c>
      <c r="Q37" s="189">
        <v>530380</v>
      </c>
      <c r="R37" s="189">
        <v>530380</v>
      </c>
      <c r="S37" s="189">
        <v>530380</v>
      </c>
    </row>
    <row r="38" spans="1:22" x14ac:dyDescent="0.25">
      <c r="A38" s="27"/>
      <c r="B38" s="754"/>
      <c r="C38" s="299" t="s">
        <v>291</v>
      </c>
      <c r="D38" s="300">
        <v>32269110</v>
      </c>
      <c r="E38" s="300">
        <v>32269110</v>
      </c>
      <c r="F38" s="300">
        <f t="shared" ref="F38:O38" si="17">F37+F36+F35</f>
        <v>30069377</v>
      </c>
      <c r="G38" s="300">
        <f t="shared" si="17"/>
        <v>30898805</v>
      </c>
      <c r="H38" s="300">
        <f t="shared" si="17"/>
        <v>30530341</v>
      </c>
      <c r="I38" s="300">
        <f t="shared" si="17"/>
        <v>30530341</v>
      </c>
      <c r="J38" s="300">
        <v>30852633</v>
      </c>
      <c r="K38" s="300">
        <f t="shared" si="17"/>
        <v>30852633</v>
      </c>
      <c r="L38" s="300">
        <f t="shared" si="17"/>
        <v>31898250</v>
      </c>
      <c r="M38" s="300"/>
      <c r="N38" s="300"/>
      <c r="O38" s="300">
        <f t="shared" si="17"/>
        <v>30852633</v>
      </c>
      <c r="P38" s="300">
        <v>31002170</v>
      </c>
      <c r="Q38" s="300">
        <v>31367550</v>
      </c>
      <c r="R38" s="300">
        <v>31367550</v>
      </c>
      <c r="S38" s="300">
        <v>31898250</v>
      </c>
    </row>
    <row r="39" spans="1:22" x14ac:dyDescent="0.25">
      <c r="C39" s="192"/>
      <c r="D39" s="247"/>
      <c r="E39"/>
      <c r="F39" s="247"/>
      <c r="G39" s="247"/>
      <c r="H39" s="247"/>
      <c r="J39"/>
      <c r="K39"/>
      <c r="L39"/>
    </row>
    <row r="40" spans="1:22" x14ac:dyDescent="0.25">
      <c r="H40" s="634"/>
      <c r="I40" s="634"/>
      <c r="J40" s="634"/>
      <c r="K40" s="634"/>
      <c r="M40" s="632"/>
    </row>
    <row r="41" spans="1:22" x14ac:dyDescent="0.25">
      <c r="D41">
        <v>95095</v>
      </c>
      <c r="E41" s="635">
        <v>109525</v>
      </c>
      <c r="F41">
        <v>112000</v>
      </c>
      <c r="G41" s="97">
        <v>118000</v>
      </c>
      <c r="H41" s="478">
        <v>126175</v>
      </c>
      <c r="I41" s="478">
        <v>127840</v>
      </c>
      <c r="J41" s="634">
        <v>128765</v>
      </c>
      <c r="K41" s="634">
        <v>129320</v>
      </c>
      <c r="L41" s="5">
        <v>129690</v>
      </c>
      <c r="M41" s="5">
        <v>130060</v>
      </c>
      <c r="N41" s="5">
        <v>130430</v>
      </c>
      <c r="O41" s="5">
        <v>130615</v>
      </c>
      <c r="P41" s="5">
        <v>130800</v>
      </c>
      <c r="Q41" s="5">
        <v>130985</v>
      </c>
      <c r="R41" s="5">
        <v>131170</v>
      </c>
      <c r="S41" s="5">
        <v>131540</v>
      </c>
    </row>
    <row r="42" spans="1:22" x14ac:dyDescent="0.25">
      <c r="E42" s="635">
        <f>(E41-D41)/D41</f>
        <v>0.15174299384825701</v>
      </c>
      <c r="F42" s="642">
        <f t="shared" ref="F42:S42" si="18">(F41-E41)/E41</f>
        <v>2.2597580461081946E-2</v>
      </c>
      <c r="G42" s="642">
        <f t="shared" si="18"/>
        <v>5.3571428571428568E-2</v>
      </c>
      <c r="H42" s="642">
        <f t="shared" si="18"/>
        <v>6.9279661016949157E-2</v>
      </c>
      <c r="I42" s="642">
        <f t="shared" si="18"/>
        <v>1.3195957994848425E-2</v>
      </c>
      <c r="J42" s="642">
        <f t="shared" si="18"/>
        <v>7.235607008760951E-3</v>
      </c>
      <c r="K42" s="642">
        <f t="shared" si="18"/>
        <v>4.3101774550537804E-3</v>
      </c>
      <c r="L42" s="642">
        <f t="shared" si="18"/>
        <v>2.8611197030621715E-3</v>
      </c>
      <c r="M42" s="642">
        <f t="shared" si="18"/>
        <v>2.8529570514303337E-3</v>
      </c>
      <c r="N42" s="642">
        <f t="shared" si="18"/>
        <v>2.8448408426879901E-3</v>
      </c>
      <c r="O42" s="642">
        <f t="shared" si="18"/>
        <v>1.4183853407958291E-3</v>
      </c>
      <c r="P42" s="642">
        <f t="shared" si="18"/>
        <v>1.4163763733108755E-3</v>
      </c>
      <c r="Q42" s="642">
        <f t="shared" si="18"/>
        <v>1.4143730886850153E-3</v>
      </c>
      <c r="R42" s="642">
        <f t="shared" si="18"/>
        <v>1.4123754628392565E-3</v>
      </c>
      <c r="S42" s="642">
        <f t="shared" si="18"/>
        <v>2.8207669436608983E-3</v>
      </c>
    </row>
    <row r="43" spans="1:22" x14ac:dyDescent="0.25">
      <c r="H43" s="634"/>
      <c r="I43" s="634"/>
      <c r="J43" s="634"/>
      <c r="K43" s="634"/>
    </row>
    <row r="44" spans="1:22" x14ac:dyDescent="0.25">
      <c r="E44" s="316"/>
      <c r="F44" s="316"/>
      <c r="G44" s="316"/>
      <c r="H44" s="316"/>
      <c r="I44" s="316"/>
      <c r="J44" s="478"/>
      <c r="K44" s="478"/>
      <c r="L44" s="478"/>
      <c r="M44" s="478"/>
      <c r="N44" s="478"/>
      <c r="O44" s="478"/>
      <c r="P44" s="478"/>
      <c r="Q44" s="478"/>
      <c r="R44" s="478"/>
      <c r="S44" s="478"/>
    </row>
    <row r="45" spans="1:22" x14ac:dyDescent="0.25">
      <c r="H45" s="727"/>
      <c r="I45" s="727"/>
      <c r="J45" s="727"/>
      <c r="K45" s="727"/>
    </row>
    <row r="46" spans="1:22" x14ac:dyDescent="0.25">
      <c r="H46" s="634"/>
      <c r="I46" s="634"/>
      <c r="J46" s="634"/>
      <c r="K46" s="634"/>
    </row>
    <row r="47" spans="1:22" x14ac:dyDescent="0.25">
      <c r="H47" s="727"/>
      <c r="I47" s="727"/>
      <c r="J47" s="727"/>
      <c r="K47" s="727"/>
    </row>
    <row r="48" spans="1:22" ht="15" customHeight="1" x14ac:dyDescent="0.25">
      <c r="H48" s="727"/>
      <c r="I48" s="727"/>
      <c r="J48" s="727"/>
      <c r="K48" s="4"/>
    </row>
  </sheetData>
  <mergeCells count="16">
    <mergeCell ref="A28:C28"/>
    <mergeCell ref="A11:A12"/>
    <mergeCell ref="U14:V14"/>
    <mergeCell ref="A20:A21"/>
    <mergeCell ref="A26:C26"/>
    <mergeCell ref="A27:C27"/>
    <mergeCell ref="U35:V35"/>
    <mergeCell ref="H45:K45"/>
    <mergeCell ref="H47:K47"/>
    <mergeCell ref="H48:J48"/>
    <mergeCell ref="A29:C29"/>
    <mergeCell ref="A30:C30"/>
    <mergeCell ref="A31:C31"/>
    <mergeCell ref="A32:C32"/>
    <mergeCell ref="A33:C33"/>
    <mergeCell ref="B35:B38"/>
  </mergeCells>
  <pageMargins left="0.7" right="0.7" top="0.75" bottom="0.75" header="0.3" footer="0.3"/>
  <pageSetup paperSize="9" orientation="portrait" horizontalDpi="200" verticalDpi="200" r:id="rId1"/>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V74"/>
  <sheetViews>
    <sheetView zoomScale="90" zoomScaleNormal="90" workbookViewId="0">
      <pane xSplit="9" ySplit="3" topLeftCell="J4" activePane="bottomRight" state="frozen"/>
      <selection pane="topRight" activeCell="J1" sqref="J1"/>
      <selection pane="bottomLeft" activeCell="A3" sqref="A3"/>
      <selection pane="bottomRight" activeCell="K39" sqref="K39"/>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21" bestFit="1" customWidth="1"/>
    <col min="6" max="6" width="18" style="225" bestFit="1" customWidth="1"/>
    <col min="7" max="7" width="7.7109375" style="225" bestFit="1" customWidth="1"/>
    <col min="8" max="8" width="2.85546875" customWidth="1"/>
    <col min="9" max="9" width="7.7109375" style="5" bestFit="1" customWidth="1"/>
    <col min="10" max="10" width="18" style="6" bestFit="1" customWidth="1"/>
    <col min="11" max="11" width="14.42578125" style="5" bestFit="1" customWidth="1"/>
    <col min="12" max="12" width="10" style="5" bestFit="1" customWidth="1"/>
    <col min="13" max="13" width="12.7109375" style="5" bestFit="1" customWidth="1"/>
    <col min="14" max="14" width="12.140625" style="5" bestFit="1" customWidth="1"/>
    <col min="15" max="15" width="11.140625" style="5" bestFit="1" customWidth="1"/>
    <col min="16" max="16" width="12.85546875" style="5" bestFit="1" customWidth="1"/>
    <col min="17" max="17" width="8.5703125" style="502" bestFit="1" customWidth="1"/>
    <col min="18" max="18" width="9.140625" style="5" bestFit="1" customWidth="1"/>
    <col min="19" max="19" width="10.140625" style="5" bestFit="1" customWidth="1"/>
    <col min="20" max="20" width="7.7109375" bestFit="1" customWidth="1"/>
    <col min="21" max="22" width="12.7109375" bestFit="1" customWidth="1"/>
  </cols>
  <sheetData>
    <row r="1" spans="2:22" ht="9" customHeight="1" x14ac:dyDescent="0.25">
      <c r="I1"/>
      <c r="J1" s="2"/>
      <c r="K1"/>
      <c r="L1"/>
      <c r="M1"/>
      <c r="N1"/>
      <c r="O1"/>
      <c r="P1"/>
      <c r="Q1" s="321"/>
      <c r="R1"/>
      <c r="S1"/>
    </row>
    <row r="2" spans="2:22" ht="21" x14ac:dyDescent="0.35">
      <c r="B2" s="735" t="s">
        <v>2413</v>
      </c>
      <c r="C2" s="736"/>
      <c r="D2" s="736"/>
      <c r="E2" s="736"/>
      <c r="F2" s="736"/>
      <c r="G2" s="757"/>
      <c r="I2" s="765" t="s">
        <v>2414</v>
      </c>
      <c r="J2" s="766"/>
      <c r="K2" s="766"/>
      <c r="L2" s="766"/>
      <c r="M2" s="766"/>
      <c r="N2" s="766"/>
      <c r="O2" s="766"/>
      <c r="P2" s="766"/>
      <c r="Q2" s="766"/>
      <c r="R2" s="766"/>
      <c r="S2" s="767"/>
    </row>
    <row r="3" spans="2:22" x14ac:dyDescent="0.25">
      <c r="B3" s="755" t="s">
        <v>1025</v>
      </c>
      <c r="C3" s="749"/>
      <c r="D3" s="749"/>
      <c r="E3" s="749"/>
      <c r="F3" s="749"/>
      <c r="G3" s="756"/>
      <c r="I3" s="346" t="s">
        <v>36</v>
      </c>
      <c r="J3" s="17" t="s">
        <v>481</v>
      </c>
      <c r="K3" s="17" t="s">
        <v>50</v>
      </c>
      <c r="L3" s="17" t="s">
        <v>1332</v>
      </c>
      <c r="M3" s="17" t="s">
        <v>879</v>
      </c>
      <c r="N3" s="17" t="s">
        <v>1333</v>
      </c>
      <c r="O3" s="17" t="s">
        <v>950</v>
      </c>
      <c r="P3" s="17" t="s">
        <v>1336</v>
      </c>
      <c r="Q3" s="406" t="s">
        <v>1326</v>
      </c>
      <c r="R3" s="345" t="s">
        <v>1337</v>
      </c>
      <c r="S3" s="345" t="s">
        <v>1334</v>
      </c>
      <c r="T3" s="345" t="s">
        <v>1920</v>
      </c>
    </row>
    <row r="4" spans="2:22" ht="18.75" x14ac:dyDescent="0.3">
      <c r="B4" s="759" t="s">
        <v>948</v>
      </c>
      <c r="C4" s="760"/>
      <c r="D4" s="268"/>
      <c r="E4" s="761" t="s">
        <v>949</v>
      </c>
      <c r="F4" s="762"/>
      <c r="G4" s="268"/>
      <c r="I4" s="187" t="s">
        <v>1006</v>
      </c>
      <c r="J4" s="336" t="s">
        <v>2400</v>
      </c>
      <c r="K4" s="333">
        <v>977936</v>
      </c>
      <c r="L4" s="333">
        <v>0</v>
      </c>
      <c r="M4" s="333">
        <v>0</v>
      </c>
      <c r="N4" s="333">
        <v>0</v>
      </c>
      <c r="O4" s="343">
        <f t="shared" ref="O4:O21" si="0">IF(M4=0,0,M4-K4)-N4</f>
        <v>0</v>
      </c>
      <c r="P4" s="333">
        <f t="shared" ref="P4:P21" si="1">IF(M4=0,K4,0)</f>
        <v>977936</v>
      </c>
      <c r="Q4" s="403"/>
      <c r="R4" s="347">
        <v>42266</v>
      </c>
      <c r="S4" s="347"/>
      <c r="T4" s="247" t="s">
        <v>2492</v>
      </c>
      <c r="U4" s="247"/>
      <c r="V4" s="247"/>
    </row>
    <row r="5" spans="2:22" x14ac:dyDescent="0.25">
      <c r="B5" s="243"/>
      <c r="C5" s="244"/>
      <c r="D5" s="423"/>
      <c r="E5" s="243"/>
      <c r="F5" s="244"/>
      <c r="G5" s="269"/>
      <c r="I5" s="334" t="s">
        <v>1006</v>
      </c>
      <c r="J5" s="337" t="s">
        <v>2408</v>
      </c>
      <c r="K5" s="335">
        <v>1031464</v>
      </c>
      <c r="L5" s="335">
        <v>0</v>
      </c>
      <c r="M5" s="335">
        <v>995000</v>
      </c>
      <c r="N5" s="335">
        <f>M5-886744</f>
        <v>108256</v>
      </c>
      <c r="O5" s="335">
        <f t="shared" si="0"/>
        <v>-144720</v>
      </c>
      <c r="P5" s="335">
        <f t="shared" si="1"/>
        <v>0</v>
      </c>
      <c r="Q5" s="405">
        <f>O5/K5</f>
        <v>-0.14030542995199058</v>
      </c>
      <c r="R5" s="348">
        <v>42295</v>
      </c>
      <c r="S5" s="348">
        <v>42329</v>
      </c>
      <c r="T5" s="247" t="s">
        <v>2492</v>
      </c>
      <c r="U5" s="247"/>
      <c r="V5" s="622"/>
    </row>
    <row r="6" spans="2:22" x14ac:dyDescent="0.25">
      <c r="B6" s="226" t="s">
        <v>951</v>
      </c>
      <c r="C6" s="242">
        <f>SUM(C7:C9)</f>
        <v>4571395</v>
      </c>
      <c r="D6" s="304">
        <f>C6/C30</f>
        <v>7.6900670357629694E-2</v>
      </c>
      <c r="E6" s="226" t="s">
        <v>1329</v>
      </c>
      <c r="F6" s="242">
        <f>F7+F8+F9</f>
        <v>35965896.227914356</v>
      </c>
      <c r="G6" s="271">
        <f>F6/$F$30</f>
        <v>0.60502352781581104</v>
      </c>
      <c r="I6" s="187" t="s">
        <v>1006</v>
      </c>
      <c r="J6" s="336" t="s">
        <v>2363</v>
      </c>
      <c r="K6" s="333">
        <v>4285170</v>
      </c>
      <c r="L6" s="333">
        <v>0</v>
      </c>
      <c r="M6" s="333">
        <v>0</v>
      </c>
      <c r="N6" s="333">
        <v>0</v>
      </c>
      <c r="O6" s="343">
        <f t="shared" si="0"/>
        <v>0</v>
      </c>
      <c r="P6" s="333">
        <f t="shared" si="1"/>
        <v>4285170</v>
      </c>
      <c r="Q6" s="403"/>
      <c r="R6" s="347">
        <v>42200</v>
      </c>
      <c r="S6" s="347"/>
      <c r="T6" s="247" t="s">
        <v>2492</v>
      </c>
      <c r="U6" s="247"/>
      <c r="V6" s="622"/>
    </row>
    <row r="7" spans="2:22" ht="15" customHeight="1" x14ac:dyDescent="0.25">
      <c r="B7" s="249" t="s">
        <v>30</v>
      </c>
      <c r="C7" s="250">
        <f>'A-P_T47'!C7+EconomiaT48!C16</f>
        <v>3392395</v>
      </c>
      <c r="D7" s="424">
        <f>C7/C30</f>
        <v>5.7067361192343083E-2</v>
      </c>
      <c r="E7" s="425" t="s">
        <v>1029</v>
      </c>
      <c r="F7" s="237">
        <v>300000</v>
      </c>
      <c r="G7" s="272">
        <f>F7/$F$30</f>
        <v>5.0466435535080449E-3</v>
      </c>
      <c r="I7" s="187" t="s">
        <v>1004</v>
      </c>
      <c r="J7" s="336" t="s">
        <v>2409</v>
      </c>
      <c r="K7" s="333">
        <v>2568848</v>
      </c>
      <c r="L7" s="333">
        <v>0</v>
      </c>
      <c r="M7" s="333">
        <v>0</v>
      </c>
      <c r="N7" s="333">
        <v>0</v>
      </c>
      <c r="O7" s="343">
        <f t="shared" si="0"/>
        <v>0</v>
      </c>
      <c r="P7" s="333">
        <f t="shared" si="1"/>
        <v>2568848</v>
      </c>
      <c r="Q7" s="403"/>
      <c r="R7" s="347">
        <v>42278</v>
      </c>
      <c r="S7" s="347"/>
      <c r="T7" s="247" t="s">
        <v>2492</v>
      </c>
      <c r="U7" s="247"/>
      <c r="V7" s="30"/>
    </row>
    <row r="8" spans="2:22" x14ac:dyDescent="0.25">
      <c r="B8" s="249" t="s">
        <v>11</v>
      </c>
      <c r="C8" s="250">
        <f>'A-P_T47'!C8+EconomiaT48!C20</f>
        <v>1179000</v>
      </c>
      <c r="D8" s="424">
        <f>C8/C30</f>
        <v>1.9833309165286618E-2</v>
      </c>
      <c r="E8" s="425" t="s">
        <v>1602</v>
      </c>
      <c r="F8" s="237">
        <f>'A-P_T47'!F9+'A-P_T47'!F8-520379-956516</f>
        <v>35655465.227914356</v>
      </c>
      <c r="G8" s="272">
        <f>F8/$F$30</f>
        <v>0.59980141246594743</v>
      </c>
      <c r="I8" s="334" t="s">
        <v>1004</v>
      </c>
      <c r="J8" s="337" t="s">
        <v>2381</v>
      </c>
      <c r="K8" s="335">
        <v>877820</v>
      </c>
      <c r="L8" s="335">
        <v>0</v>
      </c>
      <c r="M8" s="335">
        <v>1106000</v>
      </c>
      <c r="N8" s="335">
        <f>M8-997944</f>
        <v>108056</v>
      </c>
      <c r="O8" s="335">
        <f t="shared" si="0"/>
        <v>120124</v>
      </c>
      <c r="P8" s="335">
        <f t="shared" si="1"/>
        <v>0</v>
      </c>
      <c r="Q8" s="405">
        <f>O8/K8</f>
        <v>0.13684354423458112</v>
      </c>
      <c r="R8" s="348">
        <v>42251</v>
      </c>
      <c r="S8" s="348">
        <v>42301</v>
      </c>
      <c r="T8" s="508">
        <f>(S8-R8)/112</f>
        <v>0.44642857142857145</v>
      </c>
      <c r="U8" s="247"/>
      <c r="V8" s="622"/>
    </row>
    <row r="9" spans="2:22" ht="15" customHeight="1" x14ac:dyDescent="0.25">
      <c r="B9" s="245" t="s">
        <v>1026</v>
      </c>
      <c r="C9" s="248">
        <v>0</v>
      </c>
      <c r="D9" s="424">
        <f>C9/C30</f>
        <v>0</v>
      </c>
      <c r="E9" s="425" t="s">
        <v>2415</v>
      </c>
      <c r="F9" s="237">
        <f>'A-P_T47'!F11-EconomiaT47!C24+EconomiaT47!C5</f>
        <v>10431</v>
      </c>
      <c r="G9" s="272">
        <f>F9/$F$30</f>
        <v>1.7547179635547472E-4</v>
      </c>
      <c r="I9" s="334" t="s">
        <v>1006</v>
      </c>
      <c r="J9" s="337" t="s">
        <v>2404</v>
      </c>
      <c r="K9" s="335">
        <v>719263</v>
      </c>
      <c r="L9" s="335">
        <v>0</v>
      </c>
      <c r="M9" s="335">
        <v>795000</v>
      </c>
      <c r="N9" s="335">
        <f>M9-739350</f>
        <v>55650</v>
      </c>
      <c r="O9" s="335">
        <f t="shared" si="0"/>
        <v>20087</v>
      </c>
      <c r="P9" s="335">
        <f t="shared" si="1"/>
        <v>0</v>
      </c>
      <c r="Q9" s="405">
        <f>O9/K9</f>
        <v>2.7927197700980032E-2</v>
      </c>
      <c r="R9" s="348">
        <v>42275</v>
      </c>
      <c r="S9" s="348">
        <v>42385</v>
      </c>
      <c r="T9" s="247" t="s">
        <v>2492</v>
      </c>
      <c r="U9" s="247"/>
      <c r="V9" s="378"/>
    </row>
    <row r="10" spans="2:22" ht="15" customHeight="1" x14ac:dyDescent="0.25">
      <c r="B10" s="228"/>
      <c r="C10" s="227"/>
      <c r="D10" s="304"/>
      <c r="E10" s="426"/>
      <c r="F10" s="227"/>
      <c r="G10" s="271"/>
      <c r="I10" s="334" t="s">
        <v>1006</v>
      </c>
      <c r="J10" s="337" t="s">
        <v>2405</v>
      </c>
      <c r="K10" s="335">
        <v>1267572</v>
      </c>
      <c r="L10" s="335">
        <v>0</v>
      </c>
      <c r="M10" s="335">
        <v>1395000</v>
      </c>
      <c r="N10" s="335">
        <f>M10-1243224</f>
        <v>151776</v>
      </c>
      <c r="O10" s="335">
        <f t="shared" si="0"/>
        <v>-24348</v>
      </c>
      <c r="P10" s="335">
        <f t="shared" si="1"/>
        <v>0</v>
      </c>
      <c r="Q10" s="405">
        <f>O10/K10</f>
        <v>-1.9208376328918593E-2</v>
      </c>
      <c r="R10" s="348">
        <v>42288</v>
      </c>
      <c r="S10" s="348">
        <v>42322</v>
      </c>
      <c r="T10" s="508">
        <f>(S10-R10)/112</f>
        <v>0.30357142857142855</v>
      </c>
      <c r="U10" s="247"/>
      <c r="V10" s="572"/>
    </row>
    <row r="11" spans="2:22" x14ac:dyDescent="0.25">
      <c r="B11" s="226" t="s">
        <v>481</v>
      </c>
      <c r="C11" s="242">
        <f>SUM(C12:C15)</f>
        <v>31898250</v>
      </c>
      <c r="D11" s="304">
        <f>C11/C30</f>
        <v>0.53659699243562664</v>
      </c>
      <c r="E11" s="226" t="s">
        <v>1677</v>
      </c>
      <c r="F11" s="242">
        <f>SUM(F12:F17)</f>
        <v>1920880.3610147275</v>
      </c>
      <c r="G11" s="271">
        <f t="shared" ref="G11:G17" si="2">F11/$F$30</f>
        <v>3.2313328303250601E-2</v>
      </c>
      <c r="I11" s="187" t="s">
        <v>1006</v>
      </c>
      <c r="J11" s="336" t="s">
        <v>2356</v>
      </c>
      <c r="K11" s="333">
        <v>240010</v>
      </c>
      <c r="L11" s="333">
        <v>0</v>
      </c>
      <c r="M11" s="333">
        <v>0</v>
      </c>
      <c r="N11" s="333">
        <v>0</v>
      </c>
      <c r="O11" s="343">
        <f t="shared" si="0"/>
        <v>0</v>
      </c>
      <c r="P11" s="333">
        <f t="shared" si="1"/>
        <v>240010</v>
      </c>
      <c r="Q11" s="403"/>
      <c r="R11" s="347">
        <v>42200</v>
      </c>
      <c r="S11" s="347"/>
      <c r="T11" s="247" t="s">
        <v>2492</v>
      </c>
      <c r="U11" s="247"/>
      <c r="V11" s="622"/>
    </row>
    <row r="12" spans="2:22" x14ac:dyDescent="0.25">
      <c r="B12" s="231" t="s">
        <v>1381</v>
      </c>
      <c r="C12" s="232">
        <f>SUMIF(I4:I534,"S",$P$4:$P$534)</f>
        <v>0</v>
      </c>
      <c r="D12" s="424">
        <f>C12/C30</f>
        <v>0</v>
      </c>
      <c r="E12" s="339" t="s">
        <v>1194</v>
      </c>
      <c r="F12" s="340">
        <f>SUMIF(I4:I534,"J",$O$4:$O$534)</f>
        <v>62947</v>
      </c>
      <c r="G12" s="272">
        <f t="shared" si="2"/>
        <v>1.0589035725422364E-3</v>
      </c>
      <c r="I12" s="187" t="s">
        <v>1006</v>
      </c>
      <c r="J12" s="336" t="s">
        <v>2373</v>
      </c>
      <c r="K12" s="333">
        <v>1348</v>
      </c>
      <c r="L12" s="333">
        <v>0</v>
      </c>
      <c r="M12" s="333">
        <v>0</v>
      </c>
      <c r="N12" s="333">
        <v>0</v>
      </c>
      <c r="O12" s="343">
        <f t="shared" si="0"/>
        <v>0</v>
      </c>
      <c r="P12" s="333">
        <f t="shared" si="1"/>
        <v>1348</v>
      </c>
      <c r="Q12" s="403"/>
      <c r="R12" s="347">
        <v>42205</v>
      </c>
      <c r="S12" s="347"/>
      <c r="T12" s="247" t="s">
        <v>2492</v>
      </c>
      <c r="U12" s="247"/>
      <c r="V12" s="622"/>
    </row>
    <row r="13" spans="2:22" ht="15" customHeight="1" x14ac:dyDescent="0.25">
      <c r="B13" s="231" t="s">
        <v>481</v>
      </c>
      <c r="C13" s="232">
        <f>SUMIF(I4:I534,"J",$P$4:$P$534)</f>
        <v>16308608</v>
      </c>
      <c r="D13" s="424">
        <f>C13/C30</f>
        <v>0.27434577143296579</v>
      </c>
      <c r="E13" s="339" t="s">
        <v>1382</v>
      </c>
      <c r="F13" s="340">
        <f>SUMIF(I4:I534,"S",$O$4:$O$534)</f>
        <v>0</v>
      </c>
      <c r="G13" s="272">
        <f t="shared" si="2"/>
        <v>0</v>
      </c>
      <c r="I13" s="334" t="s">
        <v>1004</v>
      </c>
      <c r="J13" s="337" t="s">
        <v>2391</v>
      </c>
      <c r="K13" s="335">
        <v>925500</v>
      </c>
      <c r="L13" s="335">
        <v>0</v>
      </c>
      <c r="M13" s="335">
        <v>1000000</v>
      </c>
      <c r="N13" s="335">
        <f>M13-908700</f>
        <v>91300</v>
      </c>
      <c r="O13" s="335">
        <f t="shared" si="0"/>
        <v>-16800</v>
      </c>
      <c r="P13" s="335">
        <f t="shared" si="1"/>
        <v>0</v>
      </c>
      <c r="Q13" s="405">
        <f>O13/K13</f>
        <v>-1.8152350081037279E-2</v>
      </c>
      <c r="R13" s="348">
        <v>42240</v>
      </c>
      <c r="S13" s="348">
        <v>42301</v>
      </c>
      <c r="T13" s="508">
        <f>(S13-R13)/112</f>
        <v>0.5446428571428571</v>
      </c>
      <c r="U13" s="247"/>
    </row>
    <row r="14" spans="2:22" x14ac:dyDescent="0.25">
      <c r="B14" s="231" t="s">
        <v>819</v>
      </c>
      <c r="C14" s="232">
        <f>SUMIF(I4:I534,"E",$P$4:$P$534)</f>
        <v>15059262</v>
      </c>
      <c r="D14" s="424">
        <f>C14/C30</f>
        <v>0.25332909164296225</v>
      </c>
      <c r="E14" s="339" t="s">
        <v>1195</v>
      </c>
      <c r="F14" s="340">
        <f>SUMIF(I4:I534,"C",$O$4:$O$534)</f>
        <v>401850</v>
      </c>
      <c r="G14" s="272">
        <f t="shared" si="2"/>
        <v>6.7599790399240261E-3</v>
      </c>
      <c r="I14" s="187" t="s">
        <v>1004</v>
      </c>
      <c r="J14" s="336" t="s">
        <v>2407</v>
      </c>
      <c r="K14" s="333">
        <v>2675604</v>
      </c>
      <c r="L14" s="333">
        <v>0</v>
      </c>
      <c r="M14" s="333">
        <v>0</v>
      </c>
      <c r="N14" s="333">
        <v>0</v>
      </c>
      <c r="O14" s="343">
        <f t="shared" si="0"/>
        <v>0</v>
      </c>
      <c r="P14" s="333">
        <f t="shared" si="1"/>
        <v>2675604</v>
      </c>
      <c r="Q14" s="403"/>
      <c r="R14" s="347">
        <v>42267</v>
      </c>
      <c r="S14" s="347"/>
      <c r="T14" s="247" t="s">
        <v>2492</v>
      </c>
      <c r="U14" s="247"/>
      <c r="V14" s="622"/>
    </row>
    <row r="15" spans="2:22" x14ac:dyDescent="0.25">
      <c r="B15" s="231" t="s">
        <v>997</v>
      </c>
      <c r="C15" s="232">
        <f>SUMIF(I4:I534,"M",$P$4:$P$534)</f>
        <v>530380</v>
      </c>
      <c r="D15" s="424">
        <f>C15/C30</f>
        <v>8.9221293596986571E-3</v>
      </c>
      <c r="E15" s="339" t="s">
        <v>1196</v>
      </c>
      <c r="F15" s="340">
        <f>SUMIF(I4:I534,"E",$O$4:$O$534)</f>
        <v>995231</v>
      </c>
      <c r="G15" s="272">
        <f t="shared" si="2"/>
        <v>1.6741920368004551E-2</v>
      </c>
      <c r="I15" s="334" t="s">
        <v>1004</v>
      </c>
      <c r="J15" s="337" t="s">
        <v>2402</v>
      </c>
      <c r="K15" s="335">
        <v>2199733</v>
      </c>
      <c r="L15" s="335">
        <v>0</v>
      </c>
      <c r="M15" s="335">
        <v>2700000</v>
      </c>
      <c r="N15" s="335">
        <f>M15-2434590</f>
        <v>265410</v>
      </c>
      <c r="O15" s="335">
        <f t="shared" si="0"/>
        <v>234857</v>
      </c>
      <c r="P15" s="335">
        <f t="shared" si="1"/>
        <v>0</v>
      </c>
      <c r="Q15" s="405">
        <f>O15/K15</f>
        <v>0.10676613934509324</v>
      </c>
      <c r="R15" s="348">
        <v>42270</v>
      </c>
      <c r="S15" s="348">
        <v>42319</v>
      </c>
      <c r="T15" s="508">
        <f>(S15-R15)/112</f>
        <v>0.4375</v>
      </c>
      <c r="U15" s="247"/>
      <c r="V15" s="622"/>
    </row>
    <row r="16" spans="2:22" ht="15" customHeight="1" x14ac:dyDescent="0.25">
      <c r="B16" s="235"/>
      <c r="C16" s="236"/>
      <c r="D16" s="304"/>
      <c r="E16" s="339" t="s">
        <v>1197</v>
      </c>
      <c r="F16" s="340">
        <f>SUMIF(I4:I534,"M",$O$4:$O$534)</f>
        <v>0</v>
      </c>
      <c r="G16" s="272">
        <f t="shared" si="2"/>
        <v>0</v>
      </c>
      <c r="I16" s="187" t="s">
        <v>1006</v>
      </c>
      <c r="J16" s="336" t="s">
        <v>2024</v>
      </c>
      <c r="K16" s="333">
        <v>3329940</v>
      </c>
      <c r="L16" s="333">
        <v>0</v>
      </c>
      <c r="M16" s="333">
        <v>0</v>
      </c>
      <c r="N16" s="333">
        <v>0</v>
      </c>
      <c r="O16" s="343">
        <f t="shared" si="0"/>
        <v>0</v>
      </c>
      <c r="P16" s="333">
        <f t="shared" si="1"/>
        <v>3329940</v>
      </c>
      <c r="Q16" s="403"/>
      <c r="R16" s="347">
        <v>41992</v>
      </c>
      <c r="S16" s="347"/>
      <c r="T16" s="247" t="s">
        <v>2492</v>
      </c>
      <c r="U16" s="247"/>
    </row>
    <row r="17" spans="2:22" x14ac:dyDescent="0.25">
      <c r="B17" s="226" t="s">
        <v>48</v>
      </c>
      <c r="C17" s="260">
        <f>C18+C19</f>
        <v>12969872</v>
      </c>
      <c r="D17" s="304">
        <f>C17/C30</f>
        <v>0.21818106972874832</v>
      </c>
      <c r="E17" s="341" t="s">
        <v>2416</v>
      </c>
      <c r="F17" s="342">
        <f>C23-F23-C9</f>
        <v>460852.3610147275</v>
      </c>
      <c r="G17" s="272">
        <f t="shared" si="2"/>
        <v>7.7525253227797896E-3</v>
      </c>
      <c r="I17" s="187" t="s">
        <v>1006</v>
      </c>
      <c r="J17" s="336" t="s">
        <v>2080</v>
      </c>
      <c r="K17" s="333">
        <v>2359404</v>
      </c>
      <c r="L17" s="333">
        <v>0</v>
      </c>
      <c r="M17" s="333">
        <v>0</v>
      </c>
      <c r="N17" s="333">
        <v>0</v>
      </c>
      <c r="O17" s="343">
        <f t="shared" si="0"/>
        <v>0</v>
      </c>
      <c r="P17" s="333">
        <f t="shared" si="1"/>
        <v>2359404</v>
      </c>
      <c r="Q17" s="403"/>
      <c r="R17" s="347">
        <v>42110</v>
      </c>
      <c r="S17" s="347"/>
      <c r="T17" s="247" t="s">
        <v>2492</v>
      </c>
      <c r="U17" s="247"/>
      <c r="V17" s="622"/>
    </row>
    <row r="18" spans="2:22" ht="15" customHeight="1" x14ac:dyDescent="0.25">
      <c r="B18" s="231" t="s">
        <v>48</v>
      </c>
      <c r="C18" s="232">
        <f>SUM(M4:M534)</f>
        <v>14209000</v>
      </c>
      <c r="D18" s="424">
        <f>C18/C30</f>
        <v>0.23902586083931937</v>
      </c>
      <c r="E18" s="228"/>
      <c r="F18" s="227"/>
      <c r="G18" s="270"/>
      <c r="I18" s="187" t="s">
        <v>1004</v>
      </c>
      <c r="J18" s="336" t="s">
        <v>2420</v>
      </c>
      <c r="K18" s="333">
        <v>2883810</v>
      </c>
      <c r="L18" s="333">
        <v>0</v>
      </c>
      <c r="M18" s="333">
        <v>0</v>
      </c>
      <c r="N18" s="333">
        <v>0</v>
      </c>
      <c r="O18" s="343">
        <f t="shared" si="0"/>
        <v>0</v>
      </c>
      <c r="P18" s="333">
        <f t="shared" si="1"/>
        <v>2883810</v>
      </c>
      <c r="Q18" s="403"/>
      <c r="R18" s="347">
        <v>42297</v>
      </c>
      <c r="S18" s="347"/>
      <c r="T18" s="247" t="s">
        <v>2492</v>
      </c>
      <c r="U18" s="247"/>
    </row>
    <row r="19" spans="2:22" ht="15" customHeight="1" x14ac:dyDescent="0.25">
      <c r="B19" s="245" t="s">
        <v>5</v>
      </c>
      <c r="C19" s="248">
        <f>SUM(N4:N534)*-1</f>
        <v>-1239128</v>
      </c>
      <c r="D19" s="424">
        <f>C19/C30</f>
        <v>-2.0844791110571057E-2</v>
      </c>
      <c r="E19" s="226" t="s">
        <v>1034</v>
      </c>
      <c r="F19" s="260">
        <f>F20+F21</f>
        <v>13893180</v>
      </c>
      <c r="G19" s="271">
        <f>F19/$F$30</f>
        <v>0.23371309094908968</v>
      </c>
      <c r="I19" s="334" t="s">
        <v>1006</v>
      </c>
      <c r="J19" s="337" t="s">
        <v>2421</v>
      </c>
      <c r="K19" s="335">
        <f>653000+18192</f>
        <v>671192</v>
      </c>
      <c r="L19" s="335">
        <v>0</v>
      </c>
      <c r="M19" s="335">
        <v>950000</v>
      </c>
      <c r="N19" s="335">
        <f>M19-854810</f>
        <v>95190</v>
      </c>
      <c r="O19" s="335">
        <f t="shared" si="0"/>
        <v>183618</v>
      </c>
      <c r="P19" s="335">
        <f t="shared" si="1"/>
        <v>0</v>
      </c>
      <c r="Q19" s="405">
        <f>O19/K19</f>
        <v>0.2735700067938831</v>
      </c>
      <c r="R19" s="348">
        <v>42297</v>
      </c>
      <c r="S19" s="348">
        <v>42343</v>
      </c>
      <c r="T19" s="247" t="s">
        <v>2492</v>
      </c>
      <c r="U19" s="247"/>
    </row>
    <row r="20" spans="2:22" ht="15" customHeight="1" x14ac:dyDescent="0.25">
      <c r="B20" s="235"/>
      <c r="C20" s="236"/>
      <c r="D20" s="424"/>
      <c r="E20" s="307" t="s">
        <v>50</v>
      </c>
      <c r="F20" s="427">
        <f>EconomiaT48!C19</f>
        <v>14082044</v>
      </c>
      <c r="G20" s="272">
        <f>F20/$F$30</f>
        <v>0.23689018857605548</v>
      </c>
      <c r="I20" s="334" t="s">
        <v>1004</v>
      </c>
      <c r="J20" s="337" t="s">
        <v>2422</v>
      </c>
      <c r="K20" s="335">
        <f>2475000+25300</f>
        <v>2500300</v>
      </c>
      <c r="L20" s="335">
        <v>0</v>
      </c>
      <c r="M20" s="335">
        <v>3395000</v>
      </c>
      <c r="N20" s="335">
        <f>M20-3157350</f>
        <v>237650</v>
      </c>
      <c r="O20" s="335">
        <f t="shared" si="0"/>
        <v>657050</v>
      </c>
      <c r="P20" s="335">
        <f t="shared" si="1"/>
        <v>0</v>
      </c>
      <c r="Q20" s="405">
        <f>O20/K20</f>
        <v>0.2627884653841539</v>
      </c>
      <c r="R20" s="348">
        <v>42300</v>
      </c>
      <c r="S20" s="348">
        <v>42411</v>
      </c>
      <c r="T20" s="508">
        <f>(S20-R20)/112</f>
        <v>0.9910714285714286</v>
      </c>
    </row>
    <row r="21" spans="2:22" ht="15" customHeight="1" x14ac:dyDescent="0.25">
      <c r="B21" s="226" t="s">
        <v>1036</v>
      </c>
      <c r="C21" s="242">
        <f>EconomiaT48!C5</f>
        <v>1879587.2279143557</v>
      </c>
      <c r="D21" s="304">
        <f>C21/C30</f>
        <v>3.1618689223366803E-2</v>
      </c>
      <c r="E21" s="245" t="s">
        <v>1140</v>
      </c>
      <c r="F21" s="238">
        <f>SUM(L4:L534)*-1</f>
        <v>-188864</v>
      </c>
      <c r="G21" s="272">
        <f>F21/$F$30</f>
        <v>-3.1770976269658116E-3</v>
      </c>
      <c r="I21" s="334" t="s">
        <v>1003</v>
      </c>
      <c r="J21" s="337" t="s">
        <v>2423</v>
      </c>
      <c r="K21" s="335">
        <v>0</v>
      </c>
      <c r="L21" s="335">
        <v>0</v>
      </c>
      <c r="M21" s="335">
        <v>5000</v>
      </c>
      <c r="N21" s="335">
        <v>250</v>
      </c>
      <c r="O21" s="335">
        <f t="shared" si="0"/>
        <v>4750</v>
      </c>
      <c r="P21" s="335">
        <f t="shared" si="1"/>
        <v>0</v>
      </c>
      <c r="Q21" s="405" t="s">
        <v>1327</v>
      </c>
      <c r="R21" s="348">
        <v>42298</v>
      </c>
      <c r="S21" s="348">
        <v>42301</v>
      </c>
      <c r="T21" s="508">
        <f>(S21-R21)/112</f>
        <v>2.6785714285714284E-2</v>
      </c>
    </row>
    <row r="22" spans="2:22" ht="15" customHeight="1" x14ac:dyDescent="0.25">
      <c r="B22" s="226"/>
      <c r="C22" s="242"/>
      <c r="D22" s="304"/>
      <c r="E22" s="235"/>
      <c r="F22" s="636"/>
      <c r="G22" s="637"/>
      <c r="I22" s="334" t="s">
        <v>1006</v>
      </c>
      <c r="J22" s="337" t="s">
        <v>2425</v>
      </c>
      <c r="K22" s="335">
        <v>1317000</v>
      </c>
      <c r="L22" s="335">
        <v>26400</v>
      </c>
      <c r="M22" s="335">
        <v>1450000</v>
      </c>
      <c r="N22" s="335">
        <f>M22-1345310</f>
        <v>104690</v>
      </c>
      <c r="O22" s="335">
        <f t="shared" ref="O22:O26" si="3">IF(M22=0,0,M22-K22)-N22</f>
        <v>28310</v>
      </c>
      <c r="P22" s="335">
        <f t="shared" ref="P22:P26" si="4">IF(M22=0,K22,0)</f>
        <v>0</v>
      </c>
      <c r="Q22" s="405">
        <f>O22/K22</f>
        <v>2.14958238420653E-2</v>
      </c>
      <c r="R22" s="348">
        <v>42305</v>
      </c>
      <c r="S22" s="348">
        <v>42408</v>
      </c>
      <c r="T22" s="508">
        <f>(S22-R22)/112</f>
        <v>0.9196428571428571</v>
      </c>
    </row>
    <row r="23" spans="2:22" x14ac:dyDescent="0.25">
      <c r="B23" s="226" t="s">
        <v>1328</v>
      </c>
      <c r="C23" s="242">
        <f>SUM(C24:C28)</f>
        <v>8126346.3610147275</v>
      </c>
      <c r="D23" s="304">
        <f>C23/C30</f>
        <v>0.13670257825462845</v>
      </c>
      <c r="E23" s="226" t="s">
        <v>1601</v>
      </c>
      <c r="F23" s="242">
        <f>SUM(F24:F29)</f>
        <v>7665494</v>
      </c>
      <c r="G23" s="271">
        <f t="shared" ref="G23:G29" si="5">F23/$F$30</f>
        <v>0.12895005293184866</v>
      </c>
      <c r="I23" s="187" t="s">
        <v>1004</v>
      </c>
      <c r="J23" s="336" t="s">
        <v>2426</v>
      </c>
      <c r="K23" s="333">
        <v>2366000</v>
      </c>
      <c r="L23" s="333">
        <v>10230</v>
      </c>
      <c r="M23" s="333">
        <v>0</v>
      </c>
      <c r="N23" s="333">
        <v>0</v>
      </c>
      <c r="O23" s="343">
        <f t="shared" si="3"/>
        <v>0</v>
      </c>
      <c r="P23" s="333">
        <f t="shared" si="4"/>
        <v>2366000</v>
      </c>
      <c r="Q23" s="403"/>
      <c r="R23" s="347">
        <v>42306</v>
      </c>
      <c r="S23" s="347"/>
      <c r="T23" s="247" t="s">
        <v>2492</v>
      </c>
      <c r="U23" s="247"/>
      <c r="V23" s="622"/>
    </row>
    <row r="24" spans="2:22" x14ac:dyDescent="0.25">
      <c r="B24" s="233" t="s">
        <v>42</v>
      </c>
      <c r="C24" s="234">
        <f>EconomiaT48!C11</f>
        <v>69572</v>
      </c>
      <c r="D24" s="424">
        <f>C24/C30</f>
        <v>1.1703502843488725E-3</v>
      </c>
      <c r="E24" s="307" t="s">
        <v>882</v>
      </c>
      <c r="F24" s="428">
        <f>EconomiaT48!C14</f>
        <v>5744350</v>
      </c>
      <c r="G24" s="272">
        <f t="shared" si="5"/>
        <v>9.6632289655313133E-2</v>
      </c>
      <c r="I24" s="187" t="s">
        <v>1006</v>
      </c>
      <c r="J24" s="336" t="s">
        <v>2493</v>
      </c>
      <c r="K24" s="333">
        <v>799000</v>
      </c>
      <c r="L24" s="333">
        <v>16308</v>
      </c>
      <c r="M24" s="333">
        <v>0</v>
      </c>
      <c r="N24" s="333">
        <v>0</v>
      </c>
      <c r="O24" s="343">
        <f t="shared" si="3"/>
        <v>0</v>
      </c>
      <c r="P24" s="333">
        <f t="shared" si="4"/>
        <v>799000</v>
      </c>
      <c r="Q24" s="403"/>
      <c r="R24" s="347">
        <v>42322</v>
      </c>
      <c r="S24" s="347"/>
      <c r="T24" s="247" t="s">
        <v>2492</v>
      </c>
      <c r="V24" s="622"/>
    </row>
    <row r="25" spans="2:22" x14ac:dyDescent="0.25">
      <c r="B25" s="233" t="s">
        <v>51</v>
      </c>
      <c r="C25" s="234">
        <f>EconomiaT48!C12</f>
        <v>620090</v>
      </c>
      <c r="D25" s="424">
        <f>C25/C30</f>
        <v>1.0431244003649346E-2</v>
      </c>
      <c r="E25" s="307" t="s">
        <v>29</v>
      </c>
      <c r="F25" s="428">
        <f>EconomiaT48!C15</f>
        <v>665584</v>
      </c>
      <c r="G25" s="272">
        <f t="shared" si="5"/>
        <v>1.1196550676393663E-2</v>
      </c>
      <c r="I25" s="187" t="s">
        <v>1006</v>
      </c>
      <c r="J25" s="336" t="s">
        <v>2495</v>
      </c>
      <c r="K25" s="333">
        <v>663000</v>
      </c>
      <c r="L25" s="333">
        <v>20616</v>
      </c>
      <c r="M25" s="333">
        <v>0</v>
      </c>
      <c r="N25" s="333">
        <v>0</v>
      </c>
      <c r="O25" s="343">
        <f t="shared" si="3"/>
        <v>0</v>
      </c>
      <c r="P25" s="333">
        <f t="shared" si="4"/>
        <v>663000</v>
      </c>
      <c r="Q25" s="403"/>
      <c r="R25" s="347">
        <v>42332</v>
      </c>
      <c r="S25" s="347"/>
      <c r="T25" s="247" t="s">
        <v>2492</v>
      </c>
      <c r="U25" s="509"/>
      <c r="V25" s="622"/>
    </row>
    <row r="26" spans="2:22" x14ac:dyDescent="0.25">
      <c r="B26" s="233" t="s">
        <v>0</v>
      </c>
      <c r="C26" s="234">
        <f>EconomiaT48!C6</f>
        <v>4812147</v>
      </c>
      <c r="D26" s="424">
        <f>C26/C30</f>
        <v>8.0950635453610267E-2</v>
      </c>
      <c r="E26" s="307" t="s">
        <v>6</v>
      </c>
      <c r="F26" s="428">
        <f>EconomiaT48!C17</f>
        <v>946560</v>
      </c>
      <c r="G26" s="272">
        <f t="shared" si="5"/>
        <v>1.5923169740028584E-2</v>
      </c>
      <c r="I26" s="334" t="s">
        <v>1003</v>
      </c>
      <c r="J26" s="337" t="s">
        <v>2499</v>
      </c>
      <c r="K26" s="335">
        <v>0</v>
      </c>
      <c r="L26" s="335">
        <v>0</v>
      </c>
      <c r="M26" s="335">
        <v>203000</v>
      </c>
      <c r="N26" s="335">
        <f>M26-192850</f>
        <v>10150</v>
      </c>
      <c r="O26" s="335">
        <f t="shared" si="3"/>
        <v>192850</v>
      </c>
      <c r="P26" s="335">
        <f t="shared" si="4"/>
        <v>0</v>
      </c>
      <c r="Q26" s="405" t="s">
        <v>1327</v>
      </c>
      <c r="R26" s="348">
        <v>42341</v>
      </c>
      <c r="S26" s="348">
        <v>42343</v>
      </c>
      <c r="T26" s="508">
        <f>(S26-R26)/112</f>
        <v>1.7857142857142856E-2</v>
      </c>
      <c r="U26" s="509"/>
      <c r="V26" s="622"/>
    </row>
    <row r="27" spans="2:22" ht="15" customHeight="1" x14ac:dyDescent="0.25">
      <c r="B27" s="233" t="s">
        <v>2</v>
      </c>
      <c r="C27" s="234">
        <f>EconomiaT48!C7</f>
        <v>1952937.3610147275</v>
      </c>
      <c r="D27" s="424">
        <f>C27/C30</f>
        <v>3.2852595811233294E-2</v>
      </c>
      <c r="E27" s="307" t="s">
        <v>8</v>
      </c>
      <c r="F27" s="428">
        <f>EconomiaT48!C18</f>
        <v>245000</v>
      </c>
      <c r="G27" s="272">
        <f t="shared" si="5"/>
        <v>4.1214255686982367E-3</v>
      </c>
      <c r="I27" s="187" t="s">
        <v>1006</v>
      </c>
      <c r="J27" s="336" t="s">
        <v>2500</v>
      </c>
      <c r="K27" s="333">
        <v>1000000</v>
      </c>
      <c r="L27" s="333">
        <v>24516</v>
      </c>
      <c r="M27" s="333">
        <v>0</v>
      </c>
      <c r="N27" s="333">
        <v>0</v>
      </c>
      <c r="O27" s="343">
        <f t="shared" ref="O27:O30" si="6">IF(M27=0,0,M27-K27)-N27</f>
        <v>0</v>
      </c>
      <c r="P27" s="333">
        <f t="shared" ref="P27:P30" si="7">IF(M27=0,K27,0)</f>
        <v>1000000</v>
      </c>
      <c r="Q27" s="403"/>
      <c r="R27" s="347">
        <v>42345</v>
      </c>
      <c r="S27" s="347"/>
      <c r="T27" s="247" t="s">
        <v>2492</v>
      </c>
      <c r="U27" s="509"/>
    </row>
    <row r="28" spans="2:22" ht="15" customHeight="1" x14ac:dyDescent="0.25">
      <c r="B28" s="233" t="s">
        <v>5</v>
      </c>
      <c r="C28" s="234">
        <f>EconomiaT48!C10</f>
        <v>671600</v>
      </c>
      <c r="D28" s="424">
        <f>C28/C30</f>
        <v>1.1297752701786677E-2</v>
      </c>
      <c r="E28" s="307" t="s">
        <v>818</v>
      </c>
      <c r="F28" s="428">
        <f>EconomiaT48!C21</f>
        <v>64000</v>
      </c>
      <c r="G28" s="272">
        <f t="shared" si="5"/>
        <v>1.0766172914150496E-3</v>
      </c>
      <c r="I28" s="187" t="s">
        <v>1004</v>
      </c>
      <c r="J28" s="336" t="s">
        <v>2501</v>
      </c>
      <c r="K28" s="333">
        <v>2166000</v>
      </c>
      <c r="L28" s="333">
        <v>21036</v>
      </c>
      <c r="M28" s="333">
        <v>0</v>
      </c>
      <c r="N28" s="333">
        <v>0</v>
      </c>
      <c r="O28" s="343">
        <f t="shared" si="6"/>
        <v>0</v>
      </c>
      <c r="P28" s="333">
        <f t="shared" si="7"/>
        <v>2166000</v>
      </c>
      <c r="Q28" s="403"/>
      <c r="R28" s="347">
        <v>42319</v>
      </c>
      <c r="S28" s="347"/>
      <c r="T28" s="247" t="s">
        <v>2492</v>
      </c>
      <c r="U28" s="509"/>
    </row>
    <row r="29" spans="2:22" ht="15" customHeight="1" x14ac:dyDescent="0.25">
      <c r="B29" s="226"/>
      <c r="C29" s="242"/>
      <c r="D29" s="304"/>
      <c r="E29" s="431" t="s">
        <v>10</v>
      </c>
      <c r="F29" s="432">
        <f>EconomiaT48!C22</f>
        <v>0</v>
      </c>
      <c r="G29" s="430">
        <f t="shared" si="5"/>
        <v>0</v>
      </c>
      <c r="I29" s="334" t="s">
        <v>1003</v>
      </c>
      <c r="J29" s="337" t="s">
        <v>2502</v>
      </c>
      <c r="K29" s="335">
        <v>0</v>
      </c>
      <c r="L29" s="335">
        <v>0</v>
      </c>
      <c r="M29" s="335">
        <v>33000</v>
      </c>
      <c r="N29" s="335">
        <f>M29-31350</f>
        <v>1650</v>
      </c>
      <c r="O29" s="335">
        <f t="shared" si="6"/>
        <v>31350</v>
      </c>
      <c r="P29" s="335">
        <f t="shared" si="7"/>
        <v>0</v>
      </c>
      <c r="Q29" s="405" t="s">
        <v>1327</v>
      </c>
      <c r="R29" s="348">
        <v>42346</v>
      </c>
      <c r="S29" s="348">
        <v>42349</v>
      </c>
      <c r="T29" s="508">
        <f>(S29-R29)/112</f>
        <v>2.6785714285714284E-2</v>
      </c>
      <c r="U29" s="509"/>
    </row>
    <row r="30" spans="2:22" ht="18.75" x14ac:dyDescent="0.3">
      <c r="B30" s="366" t="s">
        <v>291</v>
      </c>
      <c r="C30" s="367">
        <f>C23+C21+C17+C11+C6</f>
        <v>59445450.588929087</v>
      </c>
      <c r="D30" s="639">
        <f>C30/C30</f>
        <v>1</v>
      </c>
      <c r="E30" s="366" t="s">
        <v>291</v>
      </c>
      <c r="F30" s="367">
        <f>F23+F19+F11+F6</f>
        <v>59445450.588929087</v>
      </c>
      <c r="G30" s="43">
        <f>F30/$F$30</f>
        <v>1</v>
      </c>
      <c r="I30" s="334" t="s">
        <v>1003</v>
      </c>
      <c r="J30" s="337" t="s">
        <v>2504</v>
      </c>
      <c r="K30" s="335">
        <v>0</v>
      </c>
      <c r="L30" s="335">
        <v>0</v>
      </c>
      <c r="M30" s="335">
        <v>2000</v>
      </c>
      <c r="N30" s="335">
        <v>100</v>
      </c>
      <c r="O30" s="335">
        <f t="shared" si="6"/>
        <v>1900</v>
      </c>
      <c r="P30" s="335">
        <f t="shared" si="7"/>
        <v>0</v>
      </c>
      <c r="Q30" s="405" t="s">
        <v>1327</v>
      </c>
      <c r="R30" s="348">
        <v>42006</v>
      </c>
      <c r="S30" s="348">
        <v>42009</v>
      </c>
      <c r="T30" s="508">
        <f>(S30-R30)/112</f>
        <v>2.6785714285714284E-2</v>
      </c>
      <c r="U30" s="509"/>
      <c r="V30" s="622"/>
    </row>
    <row r="31" spans="2:22" ht="15" customHeight="1" x14ac:dyDescent="0.25">
      <c r="D31" s="280"/>
      <c r="E31" s="638" t="s">
        <v>2418</v>
      </c>
      <c r="F31" s="417">
        <f>F30-C30</f>
        <v>0</v>
      </c>
      <c r="I31" s="334" t="s">
        <v>1003</v>
      </c>
      <c r="J31" s="337" t="s">
        <v>2506</v>
      </c>
      <c r="K31" s="335">
        <v>0</v>
      </c>
      <c r="L31" s="335">
        <v>0</v>
      </c>
      <c r="M31" s="335">
        <v>179000</v>
      </c>
      <c r="N31" s="335">
        <f>M31-170050</f>
        <v>8950</v>
      </c>
      <c r="O31" s="335">
        <f t="shared" ref="O31:O32" si="8">IF(M31=0,0,M31-K31)-N31</f>
        <v>170050</v>
      </c>
      <c r="P31" s="335">
        <f t="shared" ref="P31:P32" si="9">IF(M31=0,K31,0)</f>
        <v>0</v>
      </c>
      <c r="Q31" s="405" t="s">
        <v>1327</v>
      </c>
      <c r="R31" s="348">
        <v>42383</v>
      </c>
      <c r="S31" s="348">
        <v>42386</v>
      </c>
      <c r="T31" s="508">
        <f>(S31-R31)/112</f>
        <v>2.6785714285714284E-2</v>
      </c>
      <c r="U31" s="509"/>
    </row>
    <row r="32" spans="2:22" x14ac:dyDescent="0.25">
      <c r="H32" s="225"/>
      <c r="I32" s="187" t="s">
        <v>1006</v>
      </c>
      <c r="J32" s="336" t="s">
        <v>2507</v>
      </c>
      <c r="K32" s="333">
        <v>703800</v>
      </c>
      <c r="L32" s="333">
        <v>14810</v>
      </c>
      <c r="M32" s="333">
        <v>0</v>
      </c>
      <c r="N32" s="333">
        <v>0</v>
      </c>
      <c r="O32" s="343">
        <f t="shared" si="8"/>
        <v>0</v>
      </c>
      <c r="P32" s="333">
        <f t="shared" si="9"/>
        <v>703800</v>
      </c>
      <c r="Q32" s="403"/>
      <c r="R32" s="347">
        <v>42386</v>
      </c>
      <c r="S32" s="347"/>
      <c r="T32" s="247" t="s">
        <v>2492</v>
      </c>
      <c r="U32" s="509"/>
      <c r="V32" s="622"/>
    </row>
    <row r="33" spans="2:22" ht="15" customHeight="1" x14ac:dyDescent="0.25">
      <c r="B33" s="641" t="s">
        <v>2417</v>
      </c>
      <c r="C33" s="640">
        <f>EconomiaT48!C24</f>
        <v>2136967.5889290832</v>
      </c>
      <c r="E33" s="2" t="s">
        <v>2419</v>
      </c>
      <c r="F33" s="212">
        <f>C23-F23</f>
        <v>460852.3610147275</v>
      </c>
      <c r="G33" s="212"/>
      <c r="I33" s="187" t="s">
        <v>1005</v>
      </c>
      <c r="J33" s="336" t="s">
        <v>2508</v>
      </c>
      <c r="K33" s="333">
        <v>100000</v>
      </c>
      <c r="L33" s="333">
        <v>1020</v>
      </c>
      <c r="M33" s="333">
        <v>0</v>
      </c>
      <c r="N33" s="333">
        <v>0</v>
      </c>
      <c r="O33" s="343">
        <f t="shared" ref="O33" si="10">IF(M33=0,0,M33-K33)-N33</f>
        <v>0</v>
      </c>
      <c r="P33" s="333">
        <f t="shared" ref="P33" si="11">IF(M33=0,K33,0)</f>
        <v>100000</v>
      </c>
      <c r="Q33" s="403"/>
      <c r="R33" s="347">
        <v>42387</v>
      </c>
      <c r="S33" s="347"/>
      <c r="T33" s="247" t="s">
        <v>2492</v>
      </c>
      <c r="U33" s="509"/>
    </row>
    <row r="34" spans="2:22" x14ac:dyDescent="0.25">
      <c r="C34" s="212">
        <f>C33-C21</f>
        <v>257380.3610147275</v>
      </c>
      <c r="I34" s="187" t="s">
        <v>1005</v>
      </c>
      <c r="J34" s="336" t="s">
        <v>2509</v>
      </c>
      <c r="K34" s="333">
        <v>65000</v>
      </c>
      <c r="L34" s="333">
        <v>924</v>
      </c>
      <c r="M34" s="333">
        <v>0</v>
      </c>
      <c r="N34" s="333">
        <v>0</v>
      </c>
      <c r="O34" s="343">
        <f t="shared" ref="O34:O35" si="12">IF(M34=0,0,M34-K34)-N34</f>
        <v>0</v>
      </c>
      <c r="P34" s="333">
        <f t="shared" ref="P34:P35" si="13">IF(M34=0,K34,0)</f>
        <v>65000</v>
      </c>
      <c r="Q34" s="403"/>
      <c r="R34" s="347">
        <v>42388</v>
      </c>
      <c r="S34" s="347"/>
      <c r="T34" s="247" t="s">
        <v>2492</v>
      </c>
      <c r="U34" s="509"/>
      <c r="V34" s="622"/>
    </row>
    <row r="35" spans="2:22" x14ac:dyDescent="0.25">
      <c r="I35" s="334" t="s">
        <v>1003</v>
      </c>
      <c r="J35" s="337" t="s">
        <v>2510</v>
      </c>
      <c r="K35" s="335">
        <v>0</v>
      </c>
      <c r="L35" s="335">
        <v>0</v>
      </c>
      <c r="M35" s="335">
        <v>1000</v>
      </c>
      <c r="N35" s="335">
        <v>50</v>
      </c>
      <c r="O35" s="335">
        <f t="shared" si="12"/>
        <v>950</v>
      </c>
      <c r="P35" s="335">
        <f t="shared" si="13"/>
        <v>0</v>
      </c>
      <c r="Q35" s="405" t="s">
        <v>1327</v>
      </c>
      <c r="R35" s="348">
        <v>42393</v>
      </c>
      <c r="S35" s="348">
        <f>R35+3</f>
        <v>42396</v>
      </c>
      <c r="T35" s="508">
        <f>(S35-R35)/112</f>
        <v>2.6785714285714284E-2</v>
      </c>
      <c r="U35" s="509"/>
      <c r="V35" s="622"/>
    </row>
    <row r="36" spans="2:22" x14ac:dyDescent="0.25">
      <c r="E36" s="225"/>
      <c r="I36" s="187" t="s">
        <v>1005</v>
      </c>
      <c r="J36" s="336" t="s">
        <v>2511</v>
      </c>
      <c r="K36" s="333">
        <v>94000</v>
      </c>
      <c r="L36" s="333">
        <v>732</v>
      </c>
      <c r="M36" s="333">
        <v>0</v>
      </c>
      <c r="N36" s="333">
        <v>0</v>
      </c>
      <c r="O36" s="343">
        <f t="shared" ref="O36:O40" si="14">IF(M36=0,0,M36-K36)-N36</f>
        <v>0</v>
      </c>
      <c r="P36" s="333">
        <f t="shared" ref="P36:P40" si="15">IF(M36=0,K36,0)</f>
        <v>94000</v>
      </c>
      <c r="Q36" s="403"/>
      <c r="R36" s="347">
        <v>42394</v>
      </c>
      <c r="S36" s="347"/>
      <c r="T36" s="247" t="s">
        <v>2492</v>
      </c>
      <c r="U36" s="633"/>
      <c r="V36" s="622"/>
    </row>
    <row r="37" spans="2:22" ht="14.25" customHeight="1" x14ac:dyDescent="0.25">
      <c r="I37" s="187" t="s">
        <v>1005</v>
      </c>
      <c r="J37" s="336" t="s">
        <v>2512</v>
      </c>
      <c r="K37" s="333">
        <v>99000</v>
      </c>
      <c r="L37" s="333">
        <v>1092</v>
      </c>
      <c r="M37" s="333">
        <v>0</v>
      </c>
      <c r="N37" s="333">
        <v>0</v>
      </c>
      <c r="O37" s="343">
        <f t="shared" si="14"/>
        <v>0</v>
      </c>
      <c r="P37" s="333">
        <f t="shared" si="15"/>
        <v>99000</v>
      </c>
      <c r="Q37" s="403"/>
      <c r="R37" s="347">
        <v>42394</v>
      </c>
      <c r="S37" s="347"/>
      <c r="T37" s="247" t="s">
        <v>2492</v>
      </c>
      <c r="U37" s="633"/>
    </row>
    <row r="38" spans="2:22" s="2" customFormat="1" x14ac:dyDescent="0.25">
      <c r="B38" s="212"/>
      <c r="C38" s="212">
        <f>C21+C17-F19</f>
        <v>956279.2279143557</v>
      </c>
      <c r="D38" s="212"/>
      <c r="E38"/>
      <c r="F38" s="225"/>
      <c r="G38" s="225"/>
      <c r="I38" s="187" t="s">
        <v>1005</v>
      </c>
      <c r="J38" s="336" t="s">
        <v>2513</v>
      </c>
      <c r="K38" s="333">
        <v>82620</v>
      </c>
      <c r="L38" s="333">
        <v>684</v>
      </c>
      <c r="M38" s="333">
        <v>0</v>
      </c>
      <c r="N38" s="333">
        <v>0</v>
      </c>
      <c r="O38" s="343">
        <f t="shared" si="14"/>
        <v>0</v>
      </c>
      <c r="P38" s="333">
        <f t="shared" si="15"/>
        <v>82620</v>
      </c>
      <c r="Q38" s="403"/>
      <c r="R38" s="347">
        <v>42395</v>
      </c>
      <c r="S38" s="347"/>
      <c r="T38" s="247" t="s">
        <v>2492</v>
      </c>
      <c r="U38" s="633"/>
      <c r="V38" s="622"/>
    </row>
    <row r="39" spans="2:22" ht="15" customHeight="1" x14ac:dyDescent="0.25">
      <c r="I39" s="187" t="s">
        <v>1005</v>
      </c>
      <c r="J39" s="336" t="s">
        <v>2514</v>
      </c>
      <c r="K39" s="333">
        <v>89760</v>
      </c>
      <c r="L39" s="333">
        <v>972</v>
      </c>
      <c r="M39" s="333">
        <v>0</v>
      </c>
      <c r="N39" s="333">
        <v>0</v>
      </c>
      <c r="O39" s="343">
        <f t="shared" si="14"/>
        <v>0</v>
      </c>
      <c r="P39" s="333">
        <f t="shared" si="15"/>
        <v>89760</v>
      </c>
      <c r="Q39" s="403"/>
      <c r="R39" s="347">
        <v>42395</v>
      </c>
      <c r="S39" s="347"/>
      <c r="T39" s="247" t="s">
        <v>2492</v>
      </c>
      <c r="U39" s="633"/>
    </row>
    <row r="40" spans="2:22" ht="15" customHeight="1" x14ac:dyDescent="0.25">
      <c r="I40" s="187" t="s">
        <v>1006</v>
      </c>
      <c r="J40" s="336" t="s">
        <v>2518</v>
      </c>
      <c r="K40" s="333">
        <f>1949000</f>
        <v>1949000</v>
      </c>
      <c r="L40" s="333">
        <v>23556</v>
      </c>
      <c r="M40" s="333">
        <v>0</v>
      </c>
      <c r="N40" s="333">
        <v>0</v>
      </c>
      <c r="O40" s="343">
        <f t="shared" si="14"/>
        <v>0</v>
      </c>
      <c r="P40" s="333">
        <f t="shared" si="15"/>
        <v>1949000</v>
      </c>
      <c r="Q40" s="403"/>
      <c r="R40" s="347">
        <v>42411</v>
      </c>
      <c r="S40" s="347"/>
      <c r="T40" s="247" t="s">
        <v>2492</v>
      </c>
      <c r="U40" s="633"/>
    </row>
    <row r="41" spans="2:22" x14ac:dyDescent="0.25">
      <c r="I41" s="187" t="s">
        <v>1004</v>
      </c>
      <c r="J41" s="336" t="s">
        <v>2519</v>
      </c>
      <c r="K41" s="333">
        <f>2399000</f>
        <v>2399000</v>
      </c>
      <c r="L41" s="333">
        <v>25968</v>
      </c>
      <c r="M41" s="333">
        <v>0</v>
      </c>
      <c r="N41" s="333">
        <v>0</v>
      </c>
      <c r="O41" s="343">
        <f t="shared" ref="O41" si="16">IF(M41=0,0,M41-K41)-N41</f>
        <v>0</v>
      </c>
      <c r="P41" s="333">
        <f t="shared" ref="P41" si="17">IF(M41=0,K41,0)</f>
        <v>2399000</v>
      </c>
      <c r="Q41" s="403"/>
      <c r="R41" s="347">
        <v>42411</v>
      </c>
      <c r="S41" s="347"/>
      <c r="T41" s="247" t="s">
        <v>2492</v>
      </c>
      <c r="U41" s="633"/>
      <c r="V41" s="622"/>
    </row>
    <row r="42" spans="2:22" x14ac:dyDescent="0.25">
      <c r="I42" s="508"/>
      <c r="J42" s="508"/>
      <c r="K42" s="508"/>
      <c r="L42" s="508"/>
      <c r="M42" s="508"/>
      <c r="N42" s="508"/>
      <c r="O42" s="508"/>
      <c r="P42" s="508"/>
      <c r="Q42" s="508"/>
      <c r="R42" s="508"/>
      <c r="S42" s="508"/>
      <c r="T42" s="508"/>
      <c r="U42" s="633"/>
      <c r="V42" s="622"/>
    </row>
    <row r="43" spans="2:22" ht="15" customHeight="1" x14ac:dyDescent="0.25">
      <c r="I43" s="508"/>
      <c r="J43" s="508"/>
      <c r="K43" s="508"/>
      <c r="L43" s="508"/>
      <c r="M43" s="508"/>
      <c r="N43" s="508"/>
      <c r="O43" s="508"/>
      <c r="P43" s="508"/>
      <c r="Q43" s="508"/>
      <c r="R43" s="508"/>
      <c r="S43" s="508"/>
      <c r="T43" s="508"/>
      <c r="U43" s="633"/>
    </row>
    <row r="44" spans="2:22" x14ac:dyDescent="0.25">
      <c r="I44" s="508"/>
      <c r="J44" s="508"/>
      <c r="K44" s="508"/>
      <c r="L44" s="508"/>
      <c r="M44" s="508"/>
      <c r="N44" s="508"/>
      <c r="O44" s="508"/>
      <c r="P44" s="508"/>
      <c r="Q44" s="508"/>
      <c r="R44" s="508"/>
      <c r="S44" s="508"/>
      <c r="T44" s="508"/>
      <c r="U44" s="633"/>
      <c r="V44" s="622"/>
    </row>
    <row r="45" spans="2:22" ht="15" customHeight="1" x14ac:dyDescent="0.25">
      <c r="I45" s="508"/>
      <c r="J45" s="508"/>
      <c r="K45" s="508"/>
      <c r="L45" s="508"/>
      <c r="M45" s="508"/>
      <c r="N45" s="508"/>
      <c r="O45" s="508"/>
      <c r="P45" s="508"/>
      <c r="Q45" s="508"/>
      <c r="R45" s="508"/>
      <c r="S45" s="508"/>
      <c r="T45" s="508"/>
      <c r="U45" s="509"/>
    </row>
    <row r="46" spans="2:22" x14ac:dyDescent="0.25">
      <c r="I46" s="508"/>
      <c r="J46" s="508"/>
      <c r="K46" s="508"/>
      <c r="L46" s="508"/>
      <c r="M46" s="508"/>
      <c r="N46" s="508"/>
      <c r="O46" s="508"/>
      <c r="P46" s="508"/>
      <c r="Q46" s="508"/>
      <c r="R46" s="508"/>
      <c r="S46" s="508"/>
      <c r="T46" s="508"/>
      <c r="U46" s="509"/>
      <c r="V46" s="622"/>
    </row>
    <row r="47" spans="2:22" x14ac:dyDescent="0.25">
      <c r="I47" s="508"/>
      <c r="J47" s="508"/>
      <c r="K47" s="508"/>
      <c r="L47" s="508"/>
      <c r="M47" s="508"/>
      <c r="N47" s="508"/>
      <c r="O47" s="508"/>
      <c r="P47" s="508"/>
      <c r="Q47" s="508"/>
      <c r="R47" s="508"/>
      <c r="S47" s="508"/>
      <c r="T47" s="508"/>
      <c r="U47" s="509"/>
      <c r="V47" s="622"/>
    </row>
    <row r="48" spans="2:22" x14ac:dyDescent="0.25">
      <c r="I48" s="508"/>
      <c r="J48" s="508"/>
      <c r="K48" s="508"/>
      <c r="L48" s="508"/>
      <c r="M48" s="508"/>
      <c r="N48" s="508"/>
      <c r="O48" s="508"/>
      <c r="P48" s="508"/>
      <c r="Q48" s="508"/>
      <c r="R48" s="508"/>
      <c r="S48" s="508"/>
      <c r="T48" s="508"/>
      <c r="U48" s="509"/>
      <c r="V48" s="622"/>
    </row>
    <row r="49" spans="9:22" ht="15" customHeight="1" x14ac:dyDescent="0.25">
      <c r="I49" s="508"/>
      <c r="J49" s="508"/>
      <c r="K49" s="508"/>
      <c r="L49" s="508"/>
      <c r="M49" s="508"/>
      <c r="N49" s="508"/>
      <c r="O49" s="508"/>
      <c r="P49" s="508"/>
      <c r="Q49" s="508"/>
      <c r="R49" s="508"/>
      <c r="S49" s="508"/>
      <c r="T49" s="508"/>
    </row>
    <row r="50" spans="9:22" ht="15" customHeight="1" x14ac:dyDescent="0.25">
      <c r="I50" s="508"/>
      <c r="J50" s="508"/>
      <c r="K50" s="508"/>
      <c r="L50" s="508"/>
      <c r="M50" s="508"/>
      <c r="N50" s="508"/>
      <c r="O50" s="508"/>
      <c r="P50" s="508"/>
      <c r="Q50" s="508"/>
      <c r="R50" s="508"/>
      <c r="S50" s="508"/>
      <c r="T50" s="508"/>
    </row>
    <row r="51" spans="9:22" x14ac:dyDescent="0.25">
      <c r="I51" s="508"/>
      <c r="J51" s="508"/>
      <c r="K51" s="508"/>
      <c r="L51" s="508"/>
      <c r="M51" s="508"/>
      <c r="N51" s="508"/>
      <c r="O51" s="508"/>
      <c r="P51" s="508"/>
      <c r="Q51" s="508"/>
      <c r="R51" s="508"/>
      <c r="S51" s="508"/>
      <c r="T51" s="508"/>
      <c r="V51" s="622"/>
    </row>
    <row r="52" spans="9:22" x14ac:dyDescent="0.25">
      <c r="I52" s="508"/>
      <c r="J52" s="508"/>
      <c r="K52" s="508"/>
      <c r="L52" s="508"/>
      <c r="M52" s="508"/>
      <c r="N52" s="508"/>
      <c r="O52" s="508"/>
      <c r="P52" s="508"/>
      <c r="Q52" s="508"/>
      <c r="R52" s="508"/>
      <c r="S52" s="508"/>
      <c r="T52" s="508"/>
      <c r="V52" s="622"/>
    </row>
    <row r="53" spans="9:22" x14ac:dyDescent="0.25">
      <c r="I53" s="508"/>
      <c r="J53" s="508"/>
      <c r="K53" s="508"/>
      <c r="L53" s="508"/>
      <c r="M53" s="508"/>
      <c r="N53" s="508"/>
      <c r="O53" s="508"/>
      <c r="P53" s="508"/>
      <c r="Q53" s="508"/>
      <c r="R53" s="508"/>
      <c r="S53" s="508"/>
      <c r="T53" s="508"/>
      <c r="V53" s="622"/>
    </row>
    <row r="54" spans="9:22" x14ac:dyDescent="0.25">
      <c r="I54" s="508"/>
      <c r="J54" s="508"/>
      <c r="K54" s="508"/>
      <c r="L54" s="508"/>
      <c r="M54" s="508"/>
      <c r="N54" s="508"/>
      <c r="O54" s="508"/>
      <c r="P54" s="508"/>
      <c r="Q54" s="508"/>
      <c r="R54" s="508"/>
      <c r="S54" s="508"/>
      <c r="T54" s="508"/>
    </row>
    <row r="55" spans="9:22" x14ac:dyDescent="0.25">
      <c r="I55" s="508"/>
      <c r="J55" s="508"/>
      <c r="K55" s="508"/>
      <c r="L55" s="508"/>
      <c r="M55" s="508"/>
      <c r="N55" s="508"/>
      <c r="O55" s="508"/>
      <c r="P55" s="508"/>
      <c r="Q55" s="508"/>
      <c r="R55" s="508"/>
      <c r="S55" s="508"/>
      <c r="T55" s="508"/>
      <c r="V55" s="622"/>
    </row>
    <row r="56" spans="9:22" x14ac:dyDescent="0.25">
      <c r="I56" s="508"/>
      <c r="J56" s="508"/>
      <c r="K56" s="508"/>
      <c r="L56" s="508"/>
      <c r="M56" s="508"/>
      <c r="N56" s="508"/>
      <c r="O56" s="508"/>
      <c r="P56" s="508"/>
      <c r="Q56" s="508"/>
      <c r="R56" s="508"/>
      <c r="S56" s="508"/>
      <c r="T56" s="508"/>
    </row>
    <row r="57" spans="9:22" x14ac:dyDescent="0.25">
      <c r="I57" s="508"/>
      <c r="J57" s="508"/>
      <c r="K57" s="508"/>
      <c r="L57" s="508"/>
      <c r="M57" s="508"/>
      <c r="N57" s="508"/>
      <c r="O57" s="508"/>
      <c r="P57" s="508"/>
      <c r="Q57" s="508"/>
      <c r="R57" s="508"/>
      <c r="S57" s="508"/>
      <c r="T57" s="508"/>
    </row>
    <row r="58" spans="9:22" x14ac:dyDescent="0.25">
      <c r="I58" s="508"/>
      <c r="J58" s="508"/>
      <c r="K58" s="508"/>
      <c r="L58" s="508"/>
      <c r="M58" s="508"/>
      <c r="N58" s="508"/>
      <c r="O58" s="508"/>
      <c r="P58" s="508"/>
      <c r="Q58" s="508"/>
      <c r="R58" s="508"/>
      <c r="S58" s="508"/>
      <c r="T58" s="508"/>
    </row>
    <row r="59" spans="9:22" x14ac:dyDescent="0.25">
      <c r="I59" s="508"/>
      <c r="J59" s="508"/>
      <c r="K59" s="508"/>
      <c r="L59" s="508"/>
      <c r="M59" s="508"/>
      <c r="N59" s="508"/>
      <c r="O59" s="508"/>
      <c r="P59" s="508"/>
      <c r="Q59" s="508"/>
      <c r="R59" s="508"/>
      <c r="S59" s="508"/>
      <c r="T59" s="508"/>
    </row>
    <row r="60" spans="9:22" x14ac:dyDescent="0.25">
      <c r="I60" s="508"/>
      <c r="J60" s="508"/>
      <c r="K60" s="508"/>
      <c r="L60" s="508"/>
      <c r="M60" s="508"/>
      <c r="N60" s="508"/>
      <c r="O60" s="508"/>
      <c r="P60" s="508"/>
      <c r="Q60" s="508"/>
      <c r="R60" s="508"/>
      <c r="S60" s="508"/>
      <c r="T60" s="508"/>
      <c r="V60" s="622"/>
    </row>
    <row r="61" spans="9:22" x14ac:dyDescent="0.25">
      <c r="T61" s="508"/>
    </row>
    <row r="62" spans="9:22" x14ac:dyDescent="0.25">
      <c r="T62" s="508"/>
      <c r="V62" s="622"/>
    </row>
    <row r="63" spans="9:22" x14ac:dyDescent="0.25">
      <c r="T63" s="508"/>
      <c r="V63" s="622"/>
    </row>
    <row r="64" spans="9:22" x14ac:dyDescent="0.25">
      <c r="T64" s="508"/>
      <c r="V64" s="622"/>
    </row>
    <row r="65" spans="20:22" x14ac:dyDescent="0.25">
      <c r="T65" s="508"/>
      <c r="V65" s="622"/>
    </row>
    <row r="66" spans="20:22" x14ac:dyDescent="0.25">
      <c r="T66" s="508"/>
      <c r="V66" s="622"/>
    </row>
    <row r="67" spans="20:22" x14ac:dyDescent="0.25">
      <c r="T67" s="508"/>
    </row>
    <row r="68" spans="20:22" x14ac:dyDescent="0.25">
      <c r="T68" s="508"/>
      <c r="V68" s="622"/>
    </row>
    <row r="69" spans="20:22" x14ac:dyDescent="0.25">
      <c r="T69" s="508"/>
    </row>
    <row r="70" spans="20:22" x14ac:dyDescent="0.25">
      <c r="T70" s="508"/>
    </row>
    <row r="71" spans="20:22" x14ac:dyDescent="0.25">
      <c r="T71" s="508"/>
    </row>
    <row r="72" spans="20:22" x14ac:dyDescent="0.25">
      <c r="T72" s="508"/>
    </row>
    <row r="73" spans="20:22" x14ac:dyDescent="0.25">
      <c r="T73" s="508"/>
    </row>
    <row r="74" spans="20:22" x14ac:dyDescent="0.25">
      <c r="V74" s="622"/>
    </row>
  </sheetData>
  <autoFilter ref="I3:S60"/>
  <sortState ref="I4:S80">
    <sortCondition ref="O4:O80"/>
  </sortState>
  <mergeCells count="5">
    <mergeCell ref="B2:G2"/>
    <mergeCell ref="I2:S2"/>
    <mergeCell ref="B3:G3"/>
    <mergeCell ref="B4:C4"/>
    <mergeCell ref="E4:F4"/>
  </mergeCells>
  <conditionalFormatting sqref="F12:F17">
    <cfRule type="cellIs" dxfId="896" priority="480" operator="lessThan">
      <formula>0</formula>
    </cfRule>
    <cfRule type="cellIs" dxfId="895" priority="481" operator="greaterThan">
      <formula>0</formula>
    </cfRule>
  </conditionalFormatting>
  <conditionalFormatting sqref="O17">
    <cfRule type="cellIs" dxfId="894" priority="412" operator="lessThan">
      <formula>0</formula>
    </cfRule>
    <cfRule type="cellIs" dxfId="893" priority="413" operator="greaterThan">
      <formula>0</formula>
    </cfRule>
  </conditionalFormatting>
  <conditionalFormatting sqref="O15">
    <cfRule type="cellIs" dxfId="892" priority="428" operator="lessThan">
      <formula>0</formula>
    </cfRule>
    <cfRule type="cellIs" dxfId="891" priority="429" operator="greaterThan">
      <formula>0</formula>
    </cfRule>
  </conditionalFormatting>
  <conditionalFormatting sqref="O4">
    <cfRule type="cellIs" dxfId="890" priority="454" operator="lessThan">
      <formula>0</formula>
    </cfRule>
    <cfRule type="cellIs" dxfId="889" priority="455" operator="greaterThan">
      <formula>0</formula>
    </cfRule>
  </conditionalFormatting>
  <conditionalFormatting sqref="O5">
    <cfRule type="cellIs" dxfId="888" priority="450" operator="lessThan">
      <formula>0</formula>
    </cfRule>
    <cfRule type="cellIs" dxfId="887" priority="451" operator="greaterThan">
      <formula>0</formula>
    </cfRule>
  </conditionalFormatting>
  <conditionalFormatting sqref="O6">
    <cfRule type="cellIs" dxfId="886" priority="448" operator="lessThan">
      <formula>0</formula>
    </cfRule>
    <cfRule type="cellIs" dxfId="885" priority="449" operator="greaterThan">
      <formula>0</formula>
    </cfRule>
  </conditionalFormatting>
  <conditionalFormatting sqref="O8">
    <cfRule type="cellIs" dxfId="884" priority="444" operator="lessThan">
      <formula>0</formula>
    </cfRule>
    <cfRule type="cellIs" dxfId="883" priority="445" operator="greaterThan">
      <formula>0</formula>
    </cfRule>
  </conditionalFormatting>
  <conditionalFormatting sqref="O7">
    <cfRule type="cellIs" dxfId="882" priority="446" operator="lessThan">
      <formula>0</formula>
    </cfRule>
    <cfRule type="cellIs" dxfId="881" priority="447" operator="greaterThan">
      <formula>0</formula>
    </cfRule>
  </conditionalFormatting>
  <conditionalFormatting sqref="O11">
    <cfRule type="cellIs" dxfId="880" priority="436" operator="lessThan">
      <formula>0</formula>
    </cfRule>
    <cfRule type="cellIs" dxfId="879" priority="437" operator="greaterThan">
      <formula>0</formula>
    </cfRule>
  </conditionalFormatting>
  <conditionalFormatting sqref="O9">
    <cfRule type="cellIs" dxfId="878" priority="440" operator="lessThan">
      <formula>0</formula>
    </cfRule>
    <cfRule type="cellIs" dxfId="877" priority="441" operator="greaterThan">
      <formula>0</formula>
    </cfRule>
  </conditionalFormatting>
  <conditionalFormatting sqref="O10">
    <cfRule type="cellIs" dxfId="876" priority="438" operator="lessThan">
      <formula>0</formula>
    </cfRule>
    <cfRule type="cellIs" dxfId="875" priority="439" operator="greaterThan">
      <formula>0</formula>
    </cfRule>
  </conditionalFormatting>
  <conditionalFormatting sqref="O12">
    <cfRule type="cellIs" dxfId="874" priority="434" operator="lessThan">
      <formula>0</formula>
    </cfRule>
    <cfRule type="cellIs" dxfId="873" priority="435" operator="greaterThan">
      <formula>0</formula>
    </cfRule>
  </conditionalFormatting>
  <conditionalFormatting sqref="O13">
    <cfRule type="cellIs" dxfId="872" priority="432" operator="lessThan">
      <formula>0</formula>
    </cfRule>
    <cfRule type="cellIs" dxfId="871" priority="433" operator="greaterThan">
      <formula>0</formula>
    </cfRule>
  </conditionalFormatting>
  <conditionalFormatting sqref="O14">
    <cfRule type="cellIs" dxfId="870" priority="430" operator="lessThan">
      <formula>0</formula>
    </cfRule>
    <cfRule type="cellIs" dxfId="869" priority="431" operator="greaterThan">
      <formula>0</formula>
    </cfRule>
  </conditionalFormatting>
  <conditionalFormatting sqref="O16">
    <cfRule type="cellIs" dxfId="868" priority="424" operator="lessThan">
      <formula>0</formula>
    </cfRule>
    <cfRule type="cellIs" dxfId="867" priority="425" operator="greaterThan">
      <formula>0</formula>
    </cfRule>
  </conditionalFormatting>
  <conditionalFormatting sqref="Q4">
    <cfRule type="cellIs" dxfId="866" priority="420" operator="lessThan">
      <formula>0</formula>
    </cfRule>
    <cfRule type="cellIs" dxfId="865" priority="421" operator="greaterThan">
      <formula>0</formula>
    </cfRule>
  </conditionalFormatting>
  <conditionalFormatting sqref="Q6">
    <cfRule type="cellIs" dxfId="864" priority="372" operator="lessThan">
      <formula>0</formula>
    </cfRule>
    <cfRule type="cellIs" dxfId="863" priority="373" operator="greaterThan">
      <formula>0</formula>
    </cfRule>
  </conditionalFormatting>
  <conditionalFormatting sqref="Q7">
    <cfRule type="cellIs" dxfId="862" priority="288" operator="lessThan">
      <formula>0</formula>
    </cfRule>
    <cfRule type="cellIs" dxfId="861" priority="289" operator="greaterThan">
      <formula>0</formula>
    </cfRule>
  </conditionalFormatting>
  <conditionalFormatting sqref="Q17">
    <cfRule type="cellIs" dxfId="860" priority="286" operator="lessThan">
      <formula>0</formula>
    </cfRule>
    <cfRule type="cellIs" dxfId="859" priority="287" operator="greaterThan">
      <formula>0</formula>
    </cfRule>
  </conditionalFormatting>
  <conditionalFormatting sqref="Q12">
    <cfRule type="cellIs" dxfId="858" priority="282" operator="lessThan">
      <formula>0</formula>
    </cfRule>
    <cfRule type="cellIs" dxfId="857" priority="283" operator="greaterThan">
      <formula>0</formula>
    </cfRule>
  </conditionalFormatting>
  <conditionalFormatting sqref="Q14">
    <cfRule type="cellIs" dxfId="856" priority="274" operator="lessThan">
      <formula>0</formula>
    </cfRule>
    <cfRule type="cellIs" dxfId="855" priority="275" operator="greaterThan">
      <formula>0</formula>
    </cfRule>
  </conditionalFormatting>
  <conditionalFormatting sqref="Q11">
    <cfRule type="cellIs" dxfId="854" priority="270" operator="lessThan">
      <formula>0</formula>
    </cfRule>
    <cfRule type="cellIs" dxfId="853" priority="271" operator="greaterThan">
      <formula>0</formula>
    </cfRule>
  </conditionalFormatting>
  <conditionalFormatting sqref="Q16">
    <cfRule type="cellIs" dxfId="852" priority="290" operator="lessThan">
      <formula>0</formula>
    </cfRule>
    <cfRule type="cellIs" dxfId="851" priority="291" operator="greaterThan">
      <formula>0</formula>
    </cfRule>
  </conditionalFormatting>
  <conditionalFormatting sqref="O4">
    <cfRule type="cellIs" dxfId="850" priority="176" operator="lessThan">
      <formula>0</formula>
    </cfRule>
    <cfRule type="cellIs" dxfId="849" priority="177" operator="greaterThan">
      <formula>0</formula>
    </cfRule>
  </conditionalFormatting>
  <conditionalFormatting sqref="O5">
    <cfRule type="cellIs" dxfId="848" priority="172" operator="lessThan">
      <formula>0</formula>
    </cfRule>
    <cfRule type="cellIs" dxfId="847" priority="173" operator="greaterThan">
      <formula>0</formula>
    </cfRule>
  </conditionalFormatting>
  <conditionalFormatting sqref="O14">
    <cfRule type="cellIs" dxfId="846" priority="154" operator="lessThan">
      <formula>0</formula>
    </cfRule>
    <cfRule type="cellIs" dxfId="845" priority="155" operator="greaterThan">
      <formula>0</formula>
    </cfRule>
  </conditionalFormatting>
  <conditionalFormatting sqref="O6">
    <cfRule type="cellIs" dxfId="844" priority="170" operator="lessThan">
      <formula>0</formula>
    </cfRule>
    <cfRule type="cellIs" dxfId="843" priority="171" operator="greaterThan">
      <formula>0</formula>
    </cfRule>
  </conditionalFormatting>
  <conditionalFormatting sqref="O7">
    <cfRule type="cellIs" dxfId="842" priority="168" operator="lessThan">
      <formula>0</formula>
    </cfRule>
    <cfRule type="cellIs" dxfId="841" priority="169" operator="greaterThan">
      <formula>0</formula>
    </cfRule>
  </conditionalFormatting>
  <conditionalFormatting sqref="O13">
    <cfRule type="cellIs" dxfId="840" priority="156" operator="lessThan">
      <formula>0</formula>
    </cfRule>
    <cfRule type="cellIs" dxfId="839" priority="157" operator="greaterThan">
      <formula>0</formula>
    </cfRule>
  </conditionalFormatting>
  <conditionalFormatting sqref="O8">
    <cfRule type="cellIs" dxfId="838" priority="166" operator="lessThan">
      <formula>0</formula>
    </cfRule>
    <cfRule type="cellIs" dxfId="837" priority="167" operator="greaterThan">
      <formula>0</formula>
    </cfRule>
  </conditionalFormatting>
  <conditionalFormatting sqref="O9">
    <cfRule type="cellIs" dxfId="836" priority="164" operator="lessThan">
      <formula>0</formula>
    </cfRule>
    <cfRule type="cellIs" dxfId="835" priority="165" operator="greaterThan">
      <formula>0</formula>
    </cfRule>
  </conditionalFormatting>
  <conditionalFormatting sqref="O10">
    <cfRule type="cellIs" dxfId="834" priority="162" operator="lessThan">
      <formula>0</formula>
    </cfRule>
    <cfRule type="cellIs" dxfId="833" priority="163" operator="greaterThan">
      <formula>0</formula>
    </cfRule>
  </conditionalFormatting>
  <conditionalFormatting sqref="O11">
    <cfRule type="cellIs" dxfId="832" priority="160" operator="lessThan">
      <formula>0</formula>
    </cfRule>
    <cfRule type="cellIs" dxfId="831" priority="161" operator="greaterThan">
      <formula>0</formula>
    </cfRule>
  </conditionalFormatting>
  <conditionalFormatting sqref="O12">
    <cfRule type="cellIs" dxfId="830" priority="158" operator="lessThan">
      <formula>0</formula>
    </cfRule>
    <cfRule type="cellIs" dxfId="829" priority="159" operator="greaterThan">
      <formula>0</formula>
    </cfRule>
  </conditionalFormatting>
  <conditionalFormatting sqref="O15">
    <cfRule type="cellIs" dxfId="828" priority="152" operator="lessThan">
      <formula>0</formula>
    </cfRule>
    <cfRule type="cellIs" dxfId="827" priority="153" operator="greaterThan">
      <formula>0</formula>
    </cfRule>
  </conditionalFormatting>
  <conditionalFormatting sqref="Q4">
    <cfRule type="cellIs" dxfId="826" priority="150" operator="lessThan">
      <formula>0</formula>
    </cfRule>
    <cfRule type="cellIs" dxfId="825" priority="151" operator="greaterThan">
      <formula>0</formula>
    </cfRule>
  </conditionalFormatting>
  <conditionalFormatting sqref="O16">
    <cfRule type="cellIs" dxfId="824" priority="146" operator="lessThan">
      <formula>0</formula>
    </cfRule>
    <cfRule type="cellIs" dxfId="823" priority="147" operator="greaterThan">
      <formula>0</formula>
    </cfRule>
  </conditionalFormatting>
  <conditionalFormatting sqref="O17">
    <cfRule type="cellIs" dxfId="822" priority="144" operator="lessThan">
      <formula>0</formula>
    </cfRule>
    <cfRule type="cellIs" dxfId="821" priority="145" operator="greaterThan">
      <formula>0</formula>
    </cfRule>
  </conditionalFormatting>
  <conditionalFormatting sqref="Q7">
    <cfRule type="cellIs" dxfId="820" priority="142" operator="lessThan">
      <formula>0</formula>
    </cfRule>
    <cfRule type="cellIs" dxfId="819" priority="143" operator="greaterThan">
      <formula>0</formula>
    </cfRule>
  </conditionalFormatting>
  <conditionalFormatting sqref="Q6">
    <cfRule type="cellIs" dxfId="818" priority="134" operator="lessThan">
      <formula>0</formula>
    </cfRule>
    <cfRule type="cellIs" dxfId="817" priority="135" operator="greaterThan">
      <formula>0</formula>
    </cfRule>
  </conditionalFormatting>
  <conditionalFormatting sqref="Q16">
    <cfRule type="cellIs" dxfId="816" priority="132" operator="lessThan">
      <formula>0</formula>
    </cfRule>
    <cfRule type="cellIs" dxfId="815" priority="133" operator="greaterThan">
      <formula>0</formula>
    </cfRule>
  </conditionalFormatting>
  <conditionalFormatting sqref="Q11">
    <cfRule type="cellIs" dxfId="814" priority="130" operator="lessThan">
      <formula>0</formula>
    </cfRule>
    <cfRule type="cellIs" dxfId="813" priority="131" operator="greaterThan">
      <formula>0</formula>
    </cfRule>
  </conditionalFormatting>
  <conditionalFormatting sqref="Q17">
    <cfRule type="cellIs" dxfId="812" priority="126" operator="lessThan">
      <formula>0</formula>
    </cfRule>
    <cfRule type="cellIs" dxfId="811" priority="127" operator="greaterThan">
      <formula>0</formula>
    </cfRule>
  </conditionalFormatting>
  <conditionalFormatting sqref="Q14">
    <cfRule type="cellIs" dxfId="810" priority="120" operator="lessThan">
      <formula>0</formula>
    </cfRule>
    <cfRule type="cellIs" dxfId="809" priority="121" operator="greaterThan">
      <formula>0</formula>
    </cfRule>
  </conditionalFormatting>
  <conditionalFormatting sqref="Q12">
    <cfRule type="cellIs" dxfId="808" priority="118" operator="lessThan">
      <formula>0</formula>
    </cfRule>
    <cfRule type="cellIs" dxfId="807" priority="119" operator="greaterThan">
      <formula>0</formula>
    </cfRule>
  </conditionalFormatting>
  <conditionalFormatting sqref="F33">
    <cfRule type="cellIs" dxfId="806" priority="117" operator="lessThan">
      <formula>0</formula>
    </cfRule>
  </conditionalFormatting>
  <conditionalFormatting sqref="C34">
    <cfRule type="cellIs" dxfId="805" priority="95" operator="greaterThan">
      <formula>0</formula>
    </cfRule>
    <cfRule type="cellIs" dxfId="804" priority="116" operator="lessThan">
      <formula>0</formula>
    </cfRule>
  </conditionalFormatting>
  <conditionalFormatting sqref="O18">
    <cfRule type="cellIs" dxfId="803" priority="114" operator="lessThan">
      <formula>0</formula>
    </cfRule>
    <cfRule type="cellIs" dxfId="802" priority="115" operator="greaterThan">
      <formula>0</formula>
    </cfRule>
  </conditionalFormatting>
  <conditionalFormatting sqref="Q18">
    <cfRule type="cellIs" dxfId="801" priority="112" operator="lessThan">
      <formula>0</formula>
    </cfRule>
    <cfRule type="cellIs" dxfId="800" priority="113" operator="greaterThan">
      <formula>0</formula>
    </cfRule>
  </conditionalFormatting>
  <conditionalFormatting sqref="O19">
    <cfRule type="cellIs" dxfId="799" priority="110" operator="lessThan">
      <formula>0</formula>
    </cfRule>
    <cfRule type="cellIs" dxfId="798" priority="111" operator="greaterThan">
      <formula>0</formula>
    </cfRule>
  </conditionalFormatting>
  <conditionalFormatting sqref="O20">
    <cfRule type="cellIs" dxfId="797" priority="106" operator="lessThan">
      <formula>0</formula>
    </cfRule>
    <cfRule type="cellIs" dxfId="796" priority="107" operator="greaterThan">
      <formula>0</formula>
    </cfRule>
  </conditionalFormatting>
  <conditionalFormatting sqref="O21">
    <cfRule type="cellIs" dxfId="795" priority="102" operator="lessThan">
      <formula>0</formula>
    </cfRule>
    <cfRule type="cellIs" dxfId="794" priority="103" operator="greaterThan">
      <formula>0</formula>
    </cfRule>
  </conditionalFormatting>
  <conditionalFormatting sqref="Q21">
    <cfRule type="cellIs" dxfId="793" priority="100" operator="lessThan">
      <formula>0</formula>
    </cfRule>
    <cfRule type="cellIs" dxfId="792" priority="101" operator="greaterThan">
      <formula>0</formula>
    </cfRule>
  </conditionalFormatting>
  <conditionalFormatting sqref="Q13">
    <cfRule type="cellIs" dxfId="791" priority="98" operator="lessThan">
      <formula>0</formula>
    </cfRule>
    <cfRule type="cellIs" dxfId="790" priority="99" operator="greaterThan">
      <formula>0</formula>
    </cfRule>
  </conditionalFormatting>
  <conditionalFormatting sqref="Q8">
    <cfRule type="cellIs" dxfId="789" priority="96" operator="lessThan">
      <formula>0</formula>
    </cfRule>
    <cfRule type="cellIs" dxfId="788" priority="97" operator="greaterThan">
      <formula>0</formula>
    </cfRule>
  </conditionalFormatting>
  <conditionalFormatting sqref="O22">
    <cfRule type="cellIs" dxfId="787" priority="93" operator="lessThan">
      <formula>0</formula>
    </cfRule>
    <cfRule type="cellIs" dxfId="786" priority="94" operator="greaterThan">
      <formula>0</formula>
    </cfRule>
  </conditionalFormatting>
  <conditionalFormatting sqref="O23">
    <cfRule type="cellIs" dxfId="785" priority="89" operator="lessThan">
      <formula>0</formula>
    </cfRule>
    <cfRule type="cellIs" dxfId="784" priority="90" operator="greaterThan">
      <formula>0</formula>
    </cfRule>
  </conditionalFormatting>
  <conditionalFormatting sqref="Q23">
    <cfRule type="cellIs" dxfId="783" priority="87" operator="lessThan">
      <formula>0</formula>
    </cfRule>
    <cfRule type="cellIs" dxfId="782" priority="88" operator="greaterThan">
      <formula>0</formula>
    </cfRule>
  </conditionalFormatting>
  <conditionalFormatting sqref="Q15">
    <cfRule type="cellIs" dxfId="781" priority="85" operator="lessThan">
      <formula>0</formula>
    </cfRule>
    <cfRule type="cellIs" dxfId="780" priority="86" operator="greaterThan">
      <formula>0</formula>
    </cfRule>
  </conditionalFormatting>
  <conditionalFormatting sqref="Q10">
    <cfRule type="cellIs" dxfId="779" priority="83" operator="lessThan">
      <formula>0</formula>
    </cfRule>
    <cfRule type="cellIs" dxfId="778" priority="84" operator="greaterThan">
      <formula>0</formula>
    </cfRule>
  </conditionalFormatting>
  <conditionalFormatting sqref="O24">
    <cfRule type="cellIs" dxfId="777" priority="81" operator="lessThan">
      <formula>0</formula>
    </cfRule>
    <cfRule type="cellIs" dxfId="776" priority="82" operator="greaterThan">
      <formula>0</formula>
    </cfRule>
  </conditionalFormatting>
  <conditionalFormatting sqref="Q24">
    <cfRule type="cellIs" dxfId="775" priority="79" operator="lessThan">
      <formula>0</formula>
    </cfRule>
    <cfRule type="cellIs" dxfId="774" priority="80" operator="greaterThan">
      <formula>0</formula>
    </cfRule>
  </conditionalFormatting>
  <conditionalFormatting sqref="Q5">
    <cfRule type="cellIs" dxfId="773" priority="77" operator="lessThan">
      <formula>0</formula>
    </cfRule>
    <cfRule type="cellIs" dxfId="772" priority="78" operator="greaterThan">
      <formula>0</formula>
    </cfRule>
  </conditionalFormatting>
  <conditionalFormatting sqref="O25">
    <cfRule type="cellIs" dxfId="771" priority="75" operator="lessThan">
      <formula>0</formula>
    </cfRule>
    <cfRule type="cellIs" dxfId="770" priority="76" operator="greaterThan">
      <formula>0</formula>
    </cfRule>
  </conditionalFormatting>
  <conditionalFormatting sqref="Q25">
    <cfRule type="cellIs" dxfId="769" priority="73" operator="lessThan">
      <formula>0</formula>
    </cfRule>
    <cfRule type="cellIs" dxfId="768" priority="74" operator="greaterThan">
      <formula>0</formula>
    </cfRule>
  </conditionalFormatting>
  <conditionalFormatting sqref="Q19">
    <cfRule type="cellIs" dxfId="767" priority="71" operator="lessThan">
      <formula>0</formula>
    </cfRule>
    <cfRule type="cellIs" dxfId="766" priority="72" operator="greaterThan">
      <formula>0</formula>
    </cfRule>
  </conditionalFormatting>
  <conditionalFormatting sqref="O26">
    <cfRule type="cellIs" dxfId="765" priority="69" operator="lessThan">
      <formula>0</formula>
    </cfRule>
    <cfRule type="cellIs" dxfId="764" priority="70" operator="greaterThan">
      <formula>0</formula>
    </cfRule>
  </conditionalFormatting>
  <conditionalFormatting sqref="Q26">
    <cfRule type="cellIs" dxfId="763" priority="67" operator="lessThan">
      <formula>0</formula>
    </cfRule>
    <cfRule type="cellIs" dxfId="762" priority="68" operator="greaterThan">
      <formula>0</formula>
    </cfRule>
  </conditionalFormatting>
  <conditionalFormatting sqref="O27">
    <cfRule type="cellIs" dxfId="761" priority="65" operator="lessThan">
      <formula>0</formula>
    </cfRule>
    <cfRule type="cellIs" dxfId="760" priority="66" operator="greaterThan">
      <formula>0</formula>
    </cfRule>
  </conditionalFormatting>
  <conditionalFormatting sqref="Q27">
    <cfRule type="cellIs" dxfId="759" priority="63" operator="lessThan">
      <formula>0</formula>
    </cfRule>
    <cfRule type="cellIs" dxfId="758" priority="64" operator="greaterThan">
      <formula>0</formula>
    </cfRule>
  </conditionalFormatting>
  <conditionalFormatting sqref="O28">
    <cfRule type="cellIs" dxfId="757" priority="61" operator="lessThan">
      <formula>0</formula>
    </cfRule>
    <cfRule type="cellIs" dxfId="756" priority="62" operator="greaterThan">
      <formula>0</formula>
    </cfRule>
  </conditionalFormatting>
  <conditionalFormatting sqref="Q28">
    <cfRule type="cellIs" dxfId="755" priority="59" operator="lessThan">
      <formula>0</formula>
    </cfRule>
    <cfRule type="cellIs" dxfId="754" priority="60" operator="greaterThan">
      <formula>0</formula>
    </cfRule>
  </conditionalFormatting>
  <conditionalFormatting sqref="O29">
    <cfRule type="cellIs" dxfId="753" priority="57" operator="lessThan">
      <formula>0</formula>
    </cfRule>
    <cfRule type="cellIs" dxfId="752" priority="58" operator="greaterThan">
      <formula>0</formula>
    </cfRule>
  </conditionalFormatting>
  <conditionalFormatting sqref="Q29">
    <cfRule type="cellIs" dxfId="751" priority="55" operator="lessThan">
      <formula>0</formula>
    </cfRule>
    <cfRule type="cellIs" dxfId="750" priority="56" operator="greaterThan">
      <formula>0</formula>
    </cfRule>
  </conditionalFormatting>
  <conditionalFormatting sqref="O30">
    <cfRule type="cellIs" dxfId="749" priority="53" operator="lessThan">
      <formula>0</formula>
    </cfRule>
    <cfRule type="cellIs" dxfId="748" priority="54" operator="greaterThan">
      <formula>0</formula>
    </cfRule>
  </conditionalFormatting>
  <conditionalFormatting sqref="Q30">
    <cfRule type="cellIs" dxfId="747" priority="51" operator="lessThan">
      <formula>0</formula>
    </cfRule>
    <cfRule type="cellIs" dxfId="746" priority="52" operator="greaterThan">
      <formula>0</formula>
    </cfRule>
  </conditionalFormatting>
  <conditionalFormatting sqref="Q9">
    <cfRule type="cellIs" dxfId="745" priority="49" operator="lessThan">
      <formula>0</formula>
    </cfRule>
    <cfRule type="cellIs" dxfId="744" priority="50" operator="greaterThan">
      <formula>0</formula>
    </cfRule>
  </conditionalFormatting>
  <conditionalFormatting sqref="O31">
    <cfRule type="cellIs" dxfId="743" priority="47" operator="lessThan">
      <formula>0</formula>
    </cfRule>
    <cfRule type="cellIs" dxfId="742" priority="48" operator="greaterThan">
      <formula>0</formula>
    </cfRule>
  </conditionalFormatting>
  <conditionalFormatting sqref="Q31">
    <cfRule type="cellIs" dxfId="741" priority="45" operator="lessThan">
      <formula>0</formula>
    </cfRule>
    <cfRule type="cellIs" dxfId="740" priority="46" operator="greaterThan">
      <formula>0</formula>
    </cfRule>
  </conditionalFormatting>
  <conditionalFormatting sqref="O32">
    <cfRule type="cellIs" dxfId="739" priority="43" operator="lessThan">
      <formula>0</formula>
    </cfRule>
    <cfRule type="cellIs" dxfId="738" priority="44" operator="greaterThan">
      <formula>0</formula>
    </cfRule>
  </conditionalFormatting>
  <conditionalFormatting sqref="Q32">
    <cfRule type="cellIs" dxfId="737" priority="41" operator="lessThan">
      <formula>0</formula>
    </cfRule>
    <cfRule type="cellIs" dxfId="736" priority="42" operator="greaterThan">
      <formula>0</formula>
    </cfRule>
  </conditionalFormatting>
  <conditionalFormatting sqref="O33">
    <cfRule type="cellIs" dxfId="735" priority="39" operator="lessThan">
      <formula>0</formula>
    </cfRule>
    <cfRule type="cellIs" dxfId="734" priority="40" operator="greaterThan">
      <formula>0</formula>
    </cfRule>
  </conditionalFormatting>
  <conditionalFormatting sqref="Q33">
    <cfRule type="cellIs" dxfId="733" priority="37" operator="lessThan">
      <formula>0</formula>
    </cfRule>
    <cfRule type="cellIs" dxfId="732" priority="38" operator="greaterThan">
      <formula>0</formula>
    </cfRule>
  </conditionalFormatting>
  <conditionalFormatting sqref="O34">
    <cfRule type="cellIs" dxfId="731" priority="35" operator="lessThan">
      <formula>0</formula>
    </cfRule>
    <cfRule type="cellIs" dxfId="730" priority="36" operator="greaterThan">
      <formula>0</formula>
    </cfRule>
  </conditionalFormatting>
  <conditionalFormatting sqref="Q34">
    <cfRule type="cellIs" dxfId="729" priority="33" operator="lessThan">
      <formula>0</formula>
    </cfRule>
    <cfRule type="cellIs" dxfId="728" priority="34" operator="greaterThan">
      <formula>0</formula>
    </cfRule>
  </conditionalFormatting>
  <conditionalFormatting sqref="O35">
    <cfRule type="cellIs" dxfId="727" priority="31" operator="lessThan">
      <formula>0</formula>
    </cfRule>
    <cfRule type="cellIs" dxfId="726" priority="32" operator="greaterThan">
      <formula>0</formula>
    </cfRule>
  </conditionalFormatting>
  <conditionalFormatting sqref="Q35">
    <cfRule type="cellIs" dxfId="725" priority="29" operator="lessThan">
      <formula>0</formula>
    </cfRule>
    <cfRule type="cellIs" dxfId="724" priority="30" operator="greaterThan">
      <formula>0</formula>
    </cfRule>
  </conditionalFormatting>
  <conditionalFormatting sqref="O36">
    <cfRule type="cellIs" dxfId="723" priority="27" operator="lessThan">
      <formula>0</formula>
    </cfRule>
    <cfRule type="cellIs" dxfId="722" priority="28" operator="greaterThan">
      <formula>0</formula>
    </cfRule>
  </conditionalFormatting>
  <conditionalFormatting sqref="Q36">
    <cfRule type="cellIs" dxfId="721" priority="25" operator="lessThan">
      <formula>0</formula>
    </cfRule>
    <cfRule type="cellIs" dxfId="720" priority="26" operator="greaterThan">
      <formula>0</formula>
    </cfRule>
  </conditionalFormatting>
  <conditionalFormatting sqref="O37">
    <cfRule type="cellIs" dxfId="719" priority="23" operator="lessThan">
      <formula>0</formula>
    </cfRule>
    <cfRule type="cellIs" dxfId="718" priority="24" operator="greaterThan">
      <formula>0</formula>
    </cfRule>
  </conditionalFormatting>
  <conditionalFormatting sqref="Q37">
    <cfRule type="cellIs" dxfId="717" priority="21" operator="lessThan">
      <formula>0</formula>
    </cfRule>
    <cfRule type="cellIs" dxfId="716" priority="22" operator="greaterThan">
      <formula>0</formula>
    </cfRule>
  </conditionalFormatting>
  <conditionalFormatting sqref="O38">
    <cfRule type="cellIs" dxfId="715" priority="19" operator="lessThan">
      <formula>0</formula>
    </cfRule>
    <cfRule type="cellIs" dxfId="714" priority="20" operator="greaterThan">
      <formula>0</formula>
    </cfRule>
  </conditionalFormatting>
  <conditionalFormatting sqref="Q38">
    <cfRule type="cellIs" dxfId="713" priority="17" operator="lessThan">
      <formula>0</formula>
    </cfRule>
    <cfRule type="cellIs" dxfId="712" priority="18" operator="greaterThan">
      <formula>0</formula>
    </cfRule>
  </conditionalFormatting>
  <conditionalFormatting sqref="O39">
    <cfRule type="cellIs" dxfId="711" priority="15" operator="lessThan">
      <formula>0</formula>
    </cfRule>
    <cfRule type="cellIs" dxfId="710" priority="16" operator="greaterThan">
      <formula>0</formula>
    </cfRule>
  </conditionalFormatting>
  <conditionalFormatting sqref="Q39">
    <cfRule type="cellIs" dxfId="709" priority="13" operator="lessThan">
      <formula>0</formula>
    </cfRule>
    <cfRule type="cellIs" dxfId="708" priority="14" operator="greaterThan">
      <formula>0</formula>
    </cfRule>
  </conditionalFormatting>
  <conditionalFormatting sqref="Q22">
    <cfRule type="cellIs" dxfId="707" priority="11" operator="lessThan">
      <formula>0</formula>
    </cfRule>
    <cfRule type="cellIs" dxfId="706" priority="12" operator="greaterThan">
      <formula>0</formula>
    </cfRule>
  </conditionalFormatting>
  <conditionalFormatting sqref="Q20">
    <cfRule type="cellIs" dxfId="705" priority="9" operator="lessThan">
      <formula>0</formula>
    </cfRule>
    <cfRule type="cellIs" dxfId="704" priority="10" operator="greaterThan">
      <formula>0</formula>
    </cfRule>
  </conditionalFormatting>
  <conditionalFormatting sqref="O40">
    <cfRule type="cellIs" dxfId="703" priority="7" operator="lessThan">
      <formula>0</formula>
    </cfRule>
    <cfRule type="cellIs" dxfId="702" priority="8" operator="greaterThan">
      <formula>0</formula>
    </cfRule>
  </conditionalFormatting>
  <conditionalFormatting sqref="Q40">
    <cfRule type="cellIs" dxfId="701" priority="5" operator="lessThan">
      <formula>0</formula>
    </cfRule>
    <cfRule type="cellIs" dxfId="700" priority="6" operator="greaterThan">
      <formula>0</formula>
    </cfRule>
  </conditionalFormatting>
  <conditionalFormatting sqref="O41">
    <cfRule type="cellIs" dxfId="699" priority="3" operator="lessThan">
      <formula>0</formula>
    </cfRule>
    <cfRule type="cellIs" dxfId="698" priority="4" operator="greaterThan">
      <formula>0</formula>
    </cfRule>
  </conditionalFormatting>
  <conditionalFormatting sqref="Q41">
    <cfRule type="cellIs" dxfId="697" priority="1" operator="lessThan">
      <formula>0</formula>
    </cfRule>
    <cfRule type="cellIs" dxfId="696" priority="2" operator="greaterThan">
      <formula>0</formula>
    </cfRule>
  </conditionalFormatting>
  <pageMargins left="0.7" right="0.7" top="0.75" bottom="0.75" header="0.3" footer="0.3"/>
  <pageSetup paperSize="9" orientation="portrait" r:id="rId1"/>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V48"/>
  <sheetViews>
    <sheetView zoomScale="80" zoomScaleNormal="80" workbookViewId="0">
      <pane xSplit="3" ySplit="4" topLeftCell="E5" activePane="bottomRight" state="frozen"/>
      <selection pane="topRight" activeCell="D1" sqref="D1"/>
      <selection pane="bottomLeft" activeCell="A5" sqref="A5"/>
      <selection pane="bottomRight" activeCell="C6" sqref="C6"/>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8.28515625" style="693" bestFit="1" customWidth="1"/>
    <col min="6" max="6" width="18.28515625" bestFit="1" customWidth="1"/>
    <col min="7" max="7" width="18.28515625" style="97" bestFit="1" customWidth="1"/>
    <col min="8" max="9" width="18.28515625" bestFit="1" customWidth="1"/>
    <col min="10" max="19" width="18.28515625" style="5" bestFit="1" customWidth="1"/>
    <col min="20" max="20" width="11.42578125" style="5"/>
    <col min="21" max="21" width="15.42578125" style="5" bestFit="1" customWidth="1"/>
    <col min="22" max="22" width="9.7109375" style="5" bestFit="1" customWidth="1"/>
    <col min="23" max="16384" width="11.42578125" style="5"/>
  </cols>
  <sheetData>
    <row r="1" spans="1:22" ht="23.25" x14ac:dyDescent="0.35">
      <c r="A1" s="156" t="s">
        <v>13</v>
      </c>
      <c r="B1" s="255"/>
      <c r="C1" s="255"/>
    </row>
    <row r="2" spans="1:22" s="178" customFormat="1" ht="12.75" x14ac:dyDescent="0.2">
      <c r="B2" s="297"/>
      <c r="C2" s="297"/>
      <c r="D2" s="181">
        <f>EconomiaT48!S2+7</f>
        <v>42413</v>
      </c>
      <c r="E2" s="181">
        <f>D2+7</f>
        <v>42420</v>
      </c>
      <c r="F2" s="181">
        <f t="shared" ref="F2:S2" si="0">E2+7</f>
        <v>42427</v>
      </c>
      <c r="G2" s="181">
        <f t="shared" si="0"/>
        <v>42434</v>
      </c>
      <c r="H2" s="181">
        <f t="shared" si="0"/>
        <v>42441</v>
      </c>
      <c r="I2" s="181">
        <f t="shared" si="0"/>
        <v>42448</v>
      </c>
      <c r="J2" s="181">
        <f t="shared" si="0"/>
        <v>42455</v>
      </c>
      <c r="K2" s="181">
        <f t="shared" si="0"/>
        <v>42462</v>
      </c>
      <c r="L2" s="181">
        <f t="shared" si="0"/>
        <v>42469</v>
      </c>
      <c r="M2" s="181">
        <f t="shared" si="0"/>
        <v>42476</v>
      </c>
      <c r="N2" s="181">
        <f t="shared" si="0"/>
        <v>42483</v>
      </c>
      <c r="O2" s="181">
        <f t="shared" si="0"/>
        <v>42490</v>
      </c>
      <c r="P2" s="181">
        <f t="shared" si="0"/>
        <v>42497</v>
      </c>
      <c r="Q2" s="181">
        <f t="shared" si="0"/>
        <v>42504</v>
      </c>
      <c r="R2" s="181">
        <f t="shared" si="0"/>
        <v>42511</v>
      </c>
      <c r="S2" s="181">
        <f t="shared" si="0"/>
        <v>42518</v>
      </c>
      <c r="T2" s="181"/>
    </row>
    <row r="3" spans="1:22" s="6" customFormat="1" x14ac:dyDescent="0.25">
      <c r="A3" s="27"/>
      <c r="B3" s="27"/>
      <c r="C3" s="298" t="s">
        <v>2412</v>
      </c>
      <c r="D3" s="148" t="s">
        <v>16</v>
      </c>
      <c r="E3" s="148" t="s">
        <v>715</v>
      </c>
      <c r="F3" s="148" t="s">
        <v>702</v>
      </c>
      <c r="G3" s="148" t="s">
        <v>703</v>
      </c>
      <c r="H3" s="148" t="s">
        <v>704</v>
      </c>
      <c r="I3" s="148" t="s">
        <v>705</v>
      </c>
      <c r="J3" s="148" t="s">
        <v>21</v>
      </c>
      <c r="K3" s="148" t="s">
        <v>22</v>
      </c>
      <c r="L3" s="148" t="s">
        <v>23</v>
      </c>
      <c r="M3" s="148" t="s">
        <v>17</v>
      </c>
      <c r="N3" s="148" t="s">
        <v>18</v>
      </c>
      <c r="O3" s="148" t="s">
        <v>24</v>
      </c>
      <c r="P3" s="148" t="s">
        <v>25</v>
      </c>
      <c r="Q3" s="148" t="s">
        <v>26</v>
      </c>
      <c r="R3" s="148" t="s">
        <v>27</v>
      </c>
      <c r="S3" s="159" t="s">
        <v>28</v>
      </c>
    </row>
    <row r="4" spans="1:22" s="6" customFormat="1" x14ac:dyDescent="0.25">
      <c r="A4" s="27"/>
      <c r="B4" s="298"/>
      <c r="C4" s="298" t="s">
        <v>42</v>
      </c>
      <c r="D4" s="215">
        <v>2251</v>
      </c>
      <c r="E4" s="215">
        <f>D4+(D11/30)-11</f>
        <v>2241</v>
      </c>
      <c r="F4" s="215">
        <f t="shared" ref="F4:S4" si="1">E4+(E11/30)</f>
        <v>2245</v>
      </c>
      <c r="G4" s="215">
        <f t="shared" si="1"/>
        <v>2250</v>
      </c>
      <c r="H4" s="215">
        <f t="shared" si="1"/>
        <v>2256</v>
      </c>
      <c r="I4" s="215">
        <f t="shared" si="1"/>
        <v>2262</v>
      </c>
      <c r="J4" s="215">
        <f t="shared" si="1"/>
        <v>2268</v>
      </c>
      <c r="K4" s="215">
        <f t="shared" si="1"/>
        <v>2271</v>
      </c>
      <c r="L4" s="215">
        <f t="shared" si="1"/>
        <v>2275</v>
      </c>
      <c r="M4" s="215">
        <f t="shared" si="1"/>
        <v>2280</v>
      </c>
      <c r="N4" s="215">
        <f t="shared" si="1"/>
        <v>2286</v>
      </c>
      <c r="O4" s="215">
        <f t="shared" si="1"/>
        <v>2290</v>
      </c>
      <c r="P4" s="215">
        <f t="shared" si="1"/>
        <v>2290</v>
      </c>
      <c r="Q4" s="215">
        <f t="shared" si="1"/>
        <v>2290</v>
      </c>
      <c r="R4" s="215">
        <f t="shared" si="1"/>
        <v>2290</v>
      </c>
      <c r="S4" s="503">
        <f t="shared" si="1"/>
        <v>2294</v>
      </c>
    </row>
    <row r="5" spans="1:22" s="7" customFormat="1" ht="18.75" x14ac:dyDescent="0.3">
      <c r="A5" s="29" t="s">
        <v>12</v>
      </c>
      <c r="B5" s="29"/>
      <c r="C5" s="296">
        <f>EconomiaT48!S24+28</f>
        <v>2136995.5889290832</v>
      </c>
      <c r="D5" s="197">
        <f>C5</f>
        <v>2136995.5889290832</v>
      </c>
      <c r="E5" s="197">
        <f>D24</f>
        <v>2207875.5889290832</v>
      </c>
      <c r="F5" s="197">
        <f t="shared" ref="F5:S5" si="2">E24</f>
        <v>2795052.5889290832</v>
      </c>
      <c r="G5" s="197">
        <f t="shared" si="2"/>
        <v>3265922.5889290832</v>
      </c>
      <c r="H5" s="197">
        <f t="shared" si="2"/>
        <v>3175988.5889290832</v>
      </c>
      <c r="I5" s="197">
        <f t="shared" si="2"/>
        <v>3457741.5889290832</v>
      </c>
      <c r="J5" s="197">
        <f t="shared" si="2"/>
        <v>4147150.5889290832</v>
      </c>
      <c r="K5" s="197">
        <f t="shared" si="2"/>
        <v>2740246.5889290832</v>
      </c>
      <c r="L5" s="197">
        <f t="shared" si="2"/>
        <v>3246065.5889290832</v>
      </c>
      <c r="M5" s="197">
        <f t="shared" si="2"/>
        <v>3795542.5889290832</v>
      </c>
      <c r="N5" s="197">
        <f t="shared" si="2"/>
        <v>1291634.5889290832</v>
      </c>
      <c r="O5" s="197">
        <f t="shared" si="2"/>
        <v>1402713.5889290832</v>
      </c>
      <c r="P5" s="197">
        <f t="shared" si="2"/>
        <v>1091165.5889290832</v>
      </c>
      <c r="Q5" s="197">
        <f t="shared" si="2"/>
        <v>1015736.5889290832</v>
      </c>
      <c r="R5" s="197">
        <f t="shared" si="2"/>
        <v>528503.5889290832</v>
      </c>
      <c r="S5" s="198">
        <f t="shared" si="2"/>
        <v>4362675.5889290832</v>
      </c>
    </row>
    <row r="6" spans="1:22" x14ac:dyDescent="0.25">
      <c r="A6" s="8" t="s">
        <v>0</v>
      </c>
      <c r="B6" s="8" t="s">
        <v>0</v>
      </c>
      <c r="C6" s="199">
        <f>SUM(D6:S6)</f>
        <v>5427517</v>
      </c>
      <c r="D6" s="202">
        <v>47038</v>
      </c>
      <c r="E6" s="202">
        <v>100073</v>
      </c>
      <c r="F6" s="202">
        <v>455461</v>
      </c>
      <c r="G6" s="202">
        <v>104206</v>
      </c>
      <c r="H6" s="202">
        <f>437402+125103</f>
        <v>562505</v>
      </c>
      <c r="I6" s="202">
        <v>807565</v>
      </c>
      <c r="J6" s="202">
        <v>376698</v>
      </c>
      <c r="K6" s="202">
        <f>821071</f>
        <v>821071</v>
      </c>
      <c r="L6" s="202">
        <v>563775</v>
      </c>
      <c r="M6" s="202">
        <f>500263+21921</f>
        <v>522184</v>
      </c>
      <c r="N6" s="202">
        <v>23376</v>
      </c>
      <c r="O6" s="202">
        <v>19414</v>
      </c>
      <c r="P6" s="202">
        <f>441981+15000+3477</f>
        <v>460458</v>
      </c>
      <c r="Q6" s="202">
        <v>18667</v>
      </c>
      <c r="R6" s="202">
        <v>500239</v>
      </c>
      <c r="S6" s="201">
        <v>44787</v>
      </c>
      <c r="U6" s="8" t="s">
        <v>0</v>
      </c>
      <c r="V6" s="219">
        <f>C6/$C$13</f>
        <v>0.31738970866435229</v>
      </c>
    </row>
    <row r="7" spans="1:22" x14ac:dyDescent="0.25">
      <c r="A7" s="8" t="s">
        <v>2</v>
      </c>
      <c r="B7" s="8" t="s">
        <v>2</v>
      </c>
      <c r="C7" s="199">
        <f t="shared" ref="C7:C23" si="3">SUM(D7:S7)</f>
        <v>2036560</v>
      </c>
      <c r="D7" s="202">
        <v>95280</v>
      </c>
      <c r="E7" s="202">
        <v>111190</v>
      </c>
      <c r="F7" s="202">
        <v>120625</v>
      </c>
      <c r="G7" s="202">
        <v>125805</v>
      </c>
      <c r="H7" s="202">
        <v>128765</v>
      </c>
      <c r="I7" s="202">
        <v>130245</v>
      </c>
      <c r="J7" s="202">
        <v>131355</v>
      </c>
      <c r="K7" s="202">
        <v>131725</v>
      </c>
      <c r="L7" s="202">
        <v>132095</v>
      </c>
      <c r="M7" s="202">
        <f>132465</f>
        <v>132465</v>
      </c>
      <c r="N7" s="202">
        <f>M7+185</f>
        <v>132650</v>
      </c>
      <c r="O7" s="202">
        <f>N7+185</f>
        <v>132835</v>
      </c>
      <c r="P7" s="202">
        <f>O7</f>
        <v>132835</v>
      </c>
      <c r="Q7" s="202">
        <f>P7</f>
        <v>132835</v>
      </c>
      <c r="R7" s="202">
        <f>Q7</f>
        <v>132835</v>
      </c>
      <c r="S7" s="542">
        <v>133020</v>
      </c>
      <c r="U7" s="8" t="s">
        <v>2</v>
      </c>
      <c r="V7" s="219">
        <f t="shared" ref="V7:V12" si="4">C7/$C$13</f>
        <v>0.11909371911271273</v>
      </c>
    </row>
    <row r="8" spans="1:22" x14ac:dyDescent="0.25">
      <c r="A8" s="8" t="s">
        <v>3</v>
      </c>
      <c r="B8" s="8" t="s">
        <v>48</v>
      </c>
      <c r="C8" s="199">
        <f t="shared" si="3"/>
        <v>7692343</v>
      </c>
      <c r="D8" s="202">
        <v>0</v>
      </c>
      <c r="E8" s="202">
        <f>133436+180914+189240+132791+120401</f>
        <v>756782</v>
      </c>
      <c r="F8" s="202">
        <f>195541+1900</f>
        <v>197441</v>
      </c>
      <c r="G8" s="202">
        <v>0</v>
      </c>
      <c r="H8" s="202">
        <v>0</v>
      </c>
      <c r="I8" s="202">
        <v>0</v>
      </c>
      <c r="J8" s="202">
        <v>1255500</v>
      </c>
      <c r="K8" s="202">
        <v>0</v>
      </c>
      <c r="L8" s="202">
        <v>0</v>
      </c>
      <c r="M8" s="202">
        <f>494760</f>
        <v>494760</v>
      </c>
      <c r="N8" s="202">
        <v>409450</v>
      </c>
      <c r="O8" s="202">
        <v>0</v>
      </c>
      <c r="P8" s="202">
        <v>0</v>
      </c>
      <c r="Q8" s="202">
        <v>0</v>
      </c>
      <c r="R8" s="202">
        <v>3652110</v>
      </c>
      <c r="S8" s="201">
        <v>926300</v>
      </c>
      <c r="U8" s="8" t="s">
        <v>48</v>
      </c>
      <c r="V8" s="219">
        <f t="shared" si="4"/>
        <v>0.44983194040963292</v>
      </c>
    </row>
    <row r="9" spans="1:22" x14ac:dyDescent="0.25">
      <c r="A9" s="8"/>
      <c r="B9" s="8" t="s">
        <v>820</v>
      </c>
      <c r="C9" s="199">
        <f t="shared" si="3"/>
        <v>614612</v>
      </c>
      <c r="D9" s="202">
        <v>377150</v>
      </c>
      <c r="E9" s="202">
        <v>19950</v>
      </c>
      <c r="F9" s="202">
        <v>0</v>
      </c>
      <c r="G9" s="202">
        <v>0</v>
      </c>
      <c r="H9" s="202">
        <v>0</v>
      </c>
      <c r="I9" s="202">
        <v>191862</v>
      </c>
      <c r="J9" s="202">
        <v>0</v>
      </c>
      <c r="K9" s="202">
        <v>0</v>
      </c>
      <c r="L9" s="202">
        <v>16150</v>
      </c>
      <c r="M9" s="202">
        <v>0</v>
      </c>
      <c r="N9" s="202">
        <v>0</v>
      </c>
      <c r="O9" s="202">
        <v>0</v>
      </c>
      <c r="P9" s="202">
        <v>9500</v>
      </c>
      <c r="Q9" s="202">
        <v>0</v>
      </c>
      <c r="R9" s="202">
        <v>0</v>
      </c>
      <c r="S9" s="201">
        <v>0</v>
      </c>
      <c r="U9" s="8" t="s">
        <v>820</v>
      </c>
      <c r="V9" s="219">
        <f t="shared" si="4"/>
        <v>3.5941209142525923E-2</v>
      </c>
    </row>
    <row r="10" spans="1:22" x14ac:dyDescent="0.25">
      <c r="A10" s="8" t="s">
        <v>5</v>
      </c>
      <c r="B10" s="8" t="s">
        <v>5</v>
      </c>
      <c r="C10" s="199">
        <f t="shared" si="3"/>
        <v>593649</v>
      </c>
      <c r="D10" s="202">
        <v>15083</v>
      </c>
      <c r="E10" s="202">
        <f>42485-2</f>
        <v>42483</v>
      </c>
      <c r="F10" s="202">
        <v>137560</v>
      </c>
      <c r="G10" s="202">
        <v>116800</v>
      </c>
      <c r="H10" s="202">
        <v>28500</v>
      </c>
      <c r="I10" s="202">
        <v>0</v>
      </c>
      <c r="J10" s="202">
        <v>0</v>
      </c>
      <c r="K10" s="202">
        <v>0</v>
      </c>
      <c r="L10" s="202">
        <v>103900</v>
      </c>
      <c r="M10" s="202">
        <v>24070</v>
      </c>
      <c r="N10" s="202">
        <v>0</v>
      </c>
      <c r="O10" s="202">
        <v>0</v>
      </c>
      <c r="P10" s="202">
        <v>525</v>
      </c>
      <c r="Q10" s="202">
        <v>26740</v>
      </c>
      <c r="R10" s="202">
        <v>9685</v>
      </c>
      <c r="S10" s="201">
        <v>88303</v>
      </c>
      <c r="U10" s="8" t="s">
        <v>5</v>
      </c>
      <c r="V10" s="219">
        <f t="shared" si="4"/>
        <v>3.4715337263592924E-2</v>
      </c>
    </row>
    <row r="11" spans="1:22" x14ac:dyDescent="0.25">
      <c r="A11" s="728" t="s">
        <v>7</v>
      </c>
      <c r="B11" s="8" t="s">
        <v>42</v>
      </c>
      <c r="C11" s="199">
        <f t="shared" si="3"/>
        <v>70801</v>
      </c>
      <c r="D11" s="202">
        <v>30</v>
      </c>
      <c r="E11" s="202">
        <v>120</v>
      </c>
      <c r="F11" s="202">
        <v>150</v>
      </c>
      <c r="G11" s="202">
        <v>180</v>
      </c>
      <c r="H11" s="202">
        <v>180</v>
      </c>
      <c r="I11" s="202">
        <v>180</v>
      </c>
      <c r="J11" s="202">
        <v>90</v>
      </c>
      <c r="K11" s="202">
        <v>120</v>
      </c>
      <c r="L11" s="202">
        <v>150</v>
      </c>
      <c r="M11" s="202">
        <v>180</v>
      </c>
      <c r="N11" s="202">
        <v>120</v>
      </c>
      <c r="O11" s="202">
        <v>0</v>
      </c>
      <c r="P11" s="202">
        <v>0</v>
      </c>
      <c r="Q11" s="202">
        <v>0</v>
      </c>
      <c r="R11" s="202">
        <v>120</v>
      </c>
      <c r="S11" s="201">
        <f>S4*30+242+119</f>
        <v>69181</v>
      </c>
      <c r="U11" s="8" t="s">
        <v>19</v>
      </c>
      <c r="V11" s="219">
        <f t="shared" si="4"/>
        <v>4.140292653739234E-3</v>
      </c>
    </row>
    <row r="12" spans="1:22" x14ac:dyDescent="0.25">
      <c r="A12" s="729"/>
      <c r="B12" s="8" t="s">
        <v>51</v>
      </c>
      <c r="C12" s="199">
        <f t="shared" si="3"/>
        <v>665000</v>
      </c>
      <c r="D12" s="202">
        <v>0</v>
      </c>
      <c r="E12" s="202">
        <v>0</v>
      </c>
      <c r="F12" s="202">
        <v>0</v>
      </c>
      <c r="G12" s="202">
        <v>0</v>
      </c>
      <c r="H12" s="202">
        <v>0</v>
      </c>
      <c r="I12" s="202">
        <v>0</v>
      </c>
      <c r="J12" s="202">
        <v>0</v>
      </c>
      <c r="K12" s="202">
        <v>0</v>
      </c>
      <c r="L12" s="202">
        <v>180000</v>
      </c>
      <c r="M12" s="202">
        <v>0</v>
      </c>
      <c r="N12" s="202">
        <v>0</v>
      </c>
      <c r="O12" s="202">
        <v>0</v>
      </c>
      <c r="P12" s="202">
        <v>0</v>
      </c>
      <c r="Q12" s="202">
        <v>0</v>
      </c>
      <c r="R12" s="202">
        <v>10000</v>
      </c>
      <c r="S12" s="201">
        <v>475000</v>
      </c>
      <c r="U12" s="8" t="s">
        <v>51</v>
      </c>
      <c r="V12" s="219">
        <f t="shared" si="4"/>
        <v>3.8887792753444027E-2</v>
      </c>
    </row>
    <row r="13" spans="1:22" s="21" customFormat="1" ht="18.75" x14ac:dyDescent="0.3">
      <c r="A13" s="19" t="s">
        <v>14</v>
      </c>
      <c r="B13" s="20"/>
      <c r="C13" s="203">
        <f t="shared" si="3"/>
        <v>17100482</v>
      </c>
      <c r="D13" s="204">
        <f t="shared" ref="D13:I13" si="5">SUM(D6:D12)</f>
        <v>534581</v>
      </c>
      <c r="E13" s="204">
        <f t="shared" si="5"/>
        <v>1030598</v>
      </c>
      <c r="F13" s="204">
        <f t="shared" si="5"/>
        <v>911237</v>
      </c>
      <c r="G13" s="204">
        <f>G12+G11+G10+G9+G8+G7+G6</f>
        <v>346991</v>
      </c>
      <c r="H13" s="204">
        <f t="shared" si="5"/>
        <v>719950</v>
      </c>
      <c r="I13" s="204">
        <f t="shared" si="5"/>
        <v>1129852</v>
      </c>
      <c r="J13" s="204">
        <f t="shared" ref="J13:S13" si="6">SUM(J6:J12)</f>
        <v>1763643</v>
      </c>
      <c r="K13" s="204">
        <f t="shared" si="6"/>
        <v>952916</v>
      </c>
      <c r="L13" s="204">
        <f t="shared" si="6"/>
        <v>996070</v>
      </c>
      <c r="M13" s="204">
        <f t="shared" si="6"/>
        <v>1173659</v>
      </c>
      <c r="N13" s="204">
        <f t="shared" si="6"/>
        <v>565596</v>
      </c>
      <c r="O13" s="204">
        <f t="shared" si="6"/>
        <v>152249</v>
      </c>
      <c r="P13" s="204">
        <f t="shared" si="6"/>
        <v>603318</v>
      </c>
      <c r="Q13" s="204">
        <f t="shared" si="6"/>
        <v>178242</v>
      </c>
      <c r="R13" s="204">
        <f t="shared" si="6"/>
        <v>4304989</v>
      </c>
      <c r="S13" s="205">
        <f t="shared" si="6"/>
        <v>1736591</v>
      </c>
      <c r="V13" s="222">
        <f>SUM(V6:V12)</f>
        <v>1.0000000000000002</v>
      </c>
    </row>
    <row r="14" spans="1:22" ht="18.75" x14ac:dyDescent="0.3">
      <c r="A14" s="22" t="s">
        <v>1</v>
      </c>
      <c r="B14" s="23" t="str">
        <f>A14</f>
        <v>Sueldos</v>
      </c>
      <c r="C14" s="206">
        <f t="shared" si="3"/>
        <v>5468870</v>
      </c>
      <c r="D14" s="207">
        <v>349142</v>
      </c>
      <c r="E14" s="207">
        <v>336862</v>
      </c>
      <c r="F14" s="207">
        <v>331808</v>
      </c>
      <c r="G14" s="207">
        <v>331366</v>
      </c>
      <c r="H14" s="207">
        <v>329638</v>
      </c>
      <c r="I14" s="207">
        <v>329884</v>
      </c>
      <c r="J14" s="207">
        <v>329824</v>
      </c>
      <c r="K14" s="207">
        <v>340538</v>
      </c>
      <c r="L14" s="207">
        <v>337034</v>
      </c>
      <c r="M14" s="207">
        <v>335304</v>
      </c>
      <c r="N14" s="207">
        <v>348958</v>
      </c>
      <c r="O14" s="207">
        <v>354238</v>
      </c>
      <c r="P14" s="207">
        <v>357272</v>
      </c>
      <c r="Q14" s="207">
        <v>358618</v>
      </c>
      <c r="R14" s="207">
        <v>361258</v>
      </c>
      <c r="S14" s="542">
        <v>337126</v>
      </c>
      <c r="U14" s="744">
        <f>C13</f>
        <v>17100482</v>
      </c>
      <c r="V14" s="745"/>
    </row>
    <row r="15" spans="1:22" x14ac:dyDescent="0.25">
      <c r="A15" s="22" t="s">
        <v>29</v>
      </c>
      <c r="B15" s="23" t="str">
        <f>A15</f>
        <v xml:space="preserve">Mantenimiento </v>
      </c>
      <c r="C15" s="206">
        <f t="shared" si="3"/>
        <v>665584</v>
      </c>
      <c r="D15" s="207">
        <v>41599</v>
      </c>
      <c r="E15" s="207">
        <f>D15</f>
        <v>41599</v>
      </c>
      <c r="F15" s="207">
        <f t="shared" ref="F15:S15" si="7">E15</f>
        <v>41599</v>
      </c>
      <c r="G15" s="207">
        <f t="shared" si="7"/>
        <v>41599</v>
      </c>
      <c r="H15" s="207">
        <f t="shared" si="7"/>
        <v>41599</v>
      </c>
      <c r="I15" s="207">
        <f t="shared" si="7"/>
        <v>41599</v>
      </c>
      <c r="J15" s="207">
        <f t="shared" si="7"/>
        <v>41599</v>
      </c>
      <c r="K15" s="207">
        <f t="shared" si="7"/>
        <v>41599</v>
      </c>
      <c r="L15" s="207">
        <f t="shared" si="7"/>
        <v>41599</v>
      </c>
      <c r="M15" s="207">
        <f t="shared" si="7"/>
        <v>41599</v>
      </c>
      <c r="N15" s="207">
        <f t="shared" si="7"/>
        <v>41599</v>
      </c>
      <c r="O15" s="207">
        <f t="shared" si="7"/>
        <v>41599</v>
      </c>
      <c r="P15" s="207">
        <f t="shared" si="7"/>
        <v>41599</v>
      </c>
      <c r="Q15" s="207">
        <f t="shared" si="7"/>
        <v>41599</v>
      </c>
      <c r="R15" s="207">
        <f t="shared" si="7"/>
        <v>41599</v>
      </c>
      <c r="S15" s="201">
        <f t="shared" si="7"/>
        <v>41599</v>
      </c>
    </row>
    <row r="16" spans="1:22" x14ac:dyDescent="0.25">
      <c r="A16" s="22" t="s">
        <v>4</v>
      </c>
      <c r="B16" s="23" t="s">
        <v>30</v>
      </c>
      <c r="C16" s="206">
        <f t="shared" si="3"/>
        <v>0</v>
      </c>
      <c r="D16" s="207">
        <v>0</v>
      </c>
      <c r="E16" s="207">
        <v>0</v>
      </c>
      <c r="F16" s="207">
        <v>0</v>
      </c>
      <c r="G16" s="207">
        <v>0</v>
      </c>
      <c r="H16" s="207">
        <v>0</v>
      </c>
      <c r="I16" s="207">
        <v>0</v>
      </c>
      <c r="J16" s="207">
        <v>0</v>
      </c>
      <c r="K16" s="207">
        <v>0</v>
      </c>
      <c r="L16" s="207">
        <v>0</v>
      </c>
      <c r="M16" s="207">
        <v>0</v>
      </c>
      <c r="N16" s="207">
        <v>0</v>
      </c>
      <c r="O16" s="207">
        <v>0</v>
      </c>
      <c r="P16" s="207">
        <v>0</v>
      </c>
      <c r="Q16" s="207">
        <v>0</v>
      </c>
      <c r="R16" s="207">
        <v>0</v>
      </c>
      <c r="S16" s="201">
        <v>0</v>
      </c>
    </row>
    <row r="17" spans="1:22" x14ac:dyDescent="0.25">
      <c r="A17" s="22" t="s">
        <v>6</v>
      </c>
      <c r="B17" s="23" t="str">
        <f>A17</f>
        <v>Empleados</v>
      </c>
      <c r="C17" s="206">
        <f t="shared" si="3"/>
        <v>783360</v>
      </c>
      <c r="D17" s="207">
        <v>48960</v>
      </c>
      <c r="E17" s="207">
        <v>48960</v>
      </c>
      <c r="F17" s="207">
        <v>48960</v>
      </c>
      <c r="G17" s="207">
        <v>48960</v>
      </c>
      <c r="H17" s="207">
        <v>48960</v>
      </c>
      <c r="I17" s="207">
        <v>48960</v>
      </c>
      <c r="J17" s="207">
        <v>48960</v>
      </c>
      <c r="K17" s="207">
        <v>48960</v>
      </c>
      <c r="L17" s="207">
        <v>48960</v>
      </c>
      <c r="M17" s="207">
        <v>48960</v>
      </c>
      <c r="N17" s="207">
        <v>48960</v>
      </c>
      <c r="O17" s="207">
        <v>48960</v>
      </c>
      <c r="P17" s="207">
        <v>48960</v>
      </c>
      <c r="Q17" s="207">
        <v>48960</v>
      </c>
      <c r="R17" s="207">
        <v>48960</v>
      </c>
      <c r="S17" s="201">
        <v>48960</v>
      </c>
    </row>
    <row r="18" spans="1:22" x14ac:dyDescent="0.25">
      <c r="A18" s="22" t="s">
        <v>8</v>
      </c>
      <c r="B18" s="23" t="str">
        <f>A18</f>
        <v>Juveniles</v>
      </c>
      <c r="C18" s="206">
        <f t="shared" si="3"/>
        <v>240000</v>
      </c>
      <c r="D18" s="207">
        <v>15000</v>
      </c>
      <c r="E18" s="207">
        <f>D18</f>
        <v>15000</v>
      </c>
      <c r="F18" s="207">
        <f t="shared" ref="F18:S18" si="8">E18</f>
        <v>15000</v>
      </c>
      <c r="G18" s="207">
        <f t="shared" si="8"/>
        <v>15000</v>
      </c>
      <c r="H18" s="207">
        <f t="shared" si="8"/>
        <v>15000</v>
      </c>
      <c r="I18" s="207">
        <f t="shared" si="8"/>
        <v>15000</v>
      </c>
      <c r="J18" s="207">
        <f t="shared" si="8"/>
        <v>15000</v>
      </c>
      <c r="K18" s="207">
        <f t="shared" si="8"/>
        <v>15000</v>
      </c>
      <c r="L18" s="207">
        <f t="shared" si="8"/>
        <v>15000</v>
      </c>
      <c r="M18" s="207">
        <f t="shared" si="8"/>
        <v>15000</v>
      </c>
      <c r="N18" s="207">
        <f t="shared" si="8"/>
        <v>15000</v>
      </c>
      <c r="O18" s="207">
        <f t="shared" si="8"/>
        <v>15000</v>
      </c>
      <c r="P18" s="207">
        <f t="shared" si="8"/>
        <v>15000</v>
      </c>
      <c r="Q18" s="207">
        <f t="shared" si="8"/>
        <v>15000</v>
      </c>
      <c r="R18" s="207">
        <f t="shared" si="8"/>
        <v>15000</v>
      </c>
      <c r="S18" s="201">
        <f t="shared" si="8"/>
        <v>15000</v>
      </c>
    </row>
    <row r="19" spans="1:22" x14ac:dyDescent="0.25">
      <c r="A19" s="22" t="s">
        <v>9</v>
      </c>
      <c r="B19" s="23" t="s">
        <v>50</v>
      </c>
      <c r="C19" s="206">
        <f t="shared" si="3"/>
        <v>6383082</v>
      </c>
      <c r="D19" s="207">
        <v>0</v>
      </c>
      <c r="E19" s="207">
        <v>0</v>
      </c>
      <c r="F19" s="207">
        <v>0</v>
      </c>
      <c r="G19" s="207">
        <v>0</v>
      </c>
      <c r="H19" s="207">
        <v>0</v>
      </c>
      <c r="I19" s="207">
        <v>0</v>
      </c>
      <c r="J19" s="207">
        <v>2734164</v>
      </c>
      <c r="K19" s="207">
        <v>0</v>
      </c>
      <c r="L19" s="207">
        <v>0</v>
      </c>
      <c r="M19" s="207">
        <f>3233704</f>
        <v>3233704</v>
      </c>
      <c r="N19" s="207">
        <v>0</v>
      </c>
      <c r="O19" s="207">
        <v>0</v>
      </c>
      <c r="P19" s="207">
        <v>215916</v>
      </c>
      <c r="Q19" s="207">
        <v>199298</v>
      </c>
      <c r="R19" s="207">
        <v>0</v>
      </c>
      <c r="S19" s="201">
        <v>0</v>
      </c>
    </row>
    <row r="20" spans="1:22" x14ac:dyDescent="0.25">
      <c r="A20" s="763" t="s">
        <v>7</v>
      </c>
      <c r="B20" s="23" t="s">
        <v>11</v>
      </c>
      <c r="C20" s="206">
        <f t="shared" si="3"/>
        <v>0</v>
      </c>
      <c r="D20" s="207">
        <v>0</v>
      </c>
      <c r="E20" s="207">
        <v>0</v>
      </c>
      <c r="F20" s="207">
        <v>0</v>
      </c>
      <c r="G20" s="207">
        <v>0</v>
      </c>
      <c r="H20" s="207">
        <v>0</v>
      </c>
      <c r="I20" s="207">
        <v>0</v>
      </c>
      <c r="J20" s="207">
        <v>0</v>
      </c>
      <c r="K20" s="207">
        <v>0</v>
      </c>
      <c r="L20" s="207">
        <v>0</v>
      </c>
      <c r="M20" s="207">
        <v>0</v>
      </c>
      <c r="N20" s="207">
        <v>0</v>
      </c>
      <c r="O20" s="207">
        <v>0</v>
      </c>
      <c r="P20" s="207">
        <v>0</v>
      </c>
      <c r="Q20" s="207">
        <v>0</v>
      </c>
      <c r="R20" s="207">
        <v>0</v>
      </c>
      <c r="S20" s="201">
        <v>0</v>
      </c>
    </row>
    <row r="21" spans="1:22" x14ac:dyDescent="0.25">
      <c r="A21" s="764"/>
      <c r="B21" s="23" t="s">
        <v>818</v>
      </c>
      <c r="C21" s="206">
        <f t="shared" si="3"/>
        <v>45000</v>
      </c>
      <c r="D21" s="207">
        <v>9000</v>
      </c>
      <c r="E21" s="207">
        <v>1000</v>
      </c>
      <c r="F21" s="207">
        <v>3000</v>
      </c>
      <c r="G21" s="207">
        <v>0</v>
      </c>
      <c r="H21" s="207">
        <v>3000</v>
      </c>
      <c r="I21" s="207">
        <v>5000</v>
      </c>
      <c r="J21" s="207">
        <v>1000</v>
      </c>
      <c r="K21" s="207">
        <v>1000</v>
      </c>
      <c r="L21" s="207">
        <v>4000</v>
      </c>
      <c r="M21" s="207">
        <v>3000</v>
      </c>
      <c r="N21" s="207">
        <v>0</v>
      </c>
      <c r="O21" s="207">
        <v>4000</v>
      </c>
      <c r="P21" s="207">
        <v>0</v>
      </c>
      <c r="Q21" s="207">
        <v>2000</v>
      </c>
      <c r="R21" s="207">
        <v>4000</v>
      </c>
      <c r="S21" s="542">
        <v>5000</v>
      </c>
    </row>
    <row r="22" spans="1:22" x14ac:dyDescent="0.25">
      <c r="A22" s="22" t="s">
        <v>10</v>
      </c>
      <c r="B22" s="23" t="str">
        <f>A22</f>
        <v>Intereses</v>
      </c>
      <c r="C22" s="206">
        <f t="shared" si="3"/>
        <v>0</v>
      </c>
      <c r="D22" s="207">
        <v>0</v>
      </c>
      <c r="E22" s="207">
        <v>0</v>
      </c>
      <c r="F22" s="207">
        <v>0</v>
      </c>
      <c r="G22" s="207">
        <v>0</v>
      </c>
      <c r="H22" s="207">
        <v>0</v>
      </c>
      <c r="I22" s="207">
        <v>0</v>
      </c>
      <c r="J22" s="207">
        <v>0</v>
      </c>
      <c r="K22" s="207">
        <v>0</v>
      </c>
      <c r="L22" s="207">
        <v>0</v>
      </c>
      <c r="M22" s="207">
        <v>0</v>
      </c>
      <c r="N22" s="207">
        <v>0</v>
      </c>
      <c r="O22" s="207">
        <v>0</v>
      </c>
      <c r="P22" s="207">
        <v>0</v>
      </c>
      <c r="Q22" s="207">
        <v>0</v>
      </c>
      <c r="R22" s="207">
        <v>0</v>
      </c>
      <c r="S22" s="201">
        <v>0</v>
      </c>
    </row>
    <row r="23" spans="1:22" s="31" customFormat="1" ht="18.75" x14ac:dyDescent="0.3">
      <c r="A23" s="25" t="s">
        <v>15</v>
      </c>
      <c r="B23" s="26"/>
      <c r="C23" s="209">
        <f t="shared" si="3"/>
        <v>13585896</v>
      </c>
      <c r="D23" s="210">
        <f t="shared" ref="D23:S23" si="9">SUM(D14:D22)</f>
        <v>463701</v>
      </c>
      <c r="E23" s="210">
        <f t="shared" si="9"/>
        <v>443421</v>
      </c>
      <c r="F23" s="210">
        <f t="shared" si="9"/>
        <v>440367</v>
      </c>
      <c r="G23" s="210">
        <f t="shared" si="9"/>
        <v>436925</v>
      </c>
      <c r="H23" s="210">
        <f t="shared" si="9"/>
        <v>438197</v>
      </c>
      <c r="I23" s="210">
        <f t="shared" si="9"/>
        <v>440443</v>
      </c>
      <c r="J23" s="210">
        <f t="shared" si="9"/>
        <v>3170547</v>
      </c>
      <c r="K23" s="210">
        <f t="shared" si="9"/>
        <v>447097</v>
      </c>
      <c r="L23" s="210">
        <f t="shared" si="9"/>
        <v>446593</v>
      </c>
      <c r="M23" s="210">
        <f t="shared" si="9"/>
        <v>3677567</v>
      </c>
      <c r="N23" s="210">
        <f t="shared" si="9"/>
        <v>454517</v>
      </c>
      <c r="O23" s="210">
        <f t="shared" si="9"/>
        <v>463797</v>
      </c>
      <c r="P23" s="210">
        <f t="shared" si="9"/>
        <v>678747</v>
      </c>
      <c r="Q23" s="210">
        <f t="shared" si="9"/>
        <v>665475</v>
      </c>
      <c r="R23" s="210">
        <f t="shared" si="9"/>
        <v>470817</v>
      </c>
      <c r="S23" s="211">
        <f t="shared" si="9"/>
        <v>447685</v>
      </c>
      <c r="U23" s="23" t="s">
        <v>1</v>
      </c>
      <c r="V23" s="220">
        <f>C14/$C$23</f>
        <v>0.40254025203784866</v>
      </c>
    </row>
    <row r="24" spans="1:22" s="7" customFormat="1" ht="18.75" x14ac:dyDescent="0.3">
      <c r="A24" s="9" t="s">
        <v>20</v>
      </c>
      <c r="B24" s="9"/>
      <c r="C24" s="197">
        <f>C5+C13-C23</f>
        <v>5651581.5889290832</v>
      </c>
      <c r="D24" s="197">
        <f t="shared" ref="D24:S24" si="10">D5+D13-D23</f>
        <v>2207875.5889290832</v>
      </c>
      <c r="E24" s="197">
        <f t="shared" si="10"/>
        <v>2795052.5889290832</v>
      </c>
      <c r="F24" s="197">
        <f t="shared" si="10"/>
        <v>3265922.5889290832</v>
      </c>
      <c r="G24" s="197">
        <f t="shared" si="10"/>
        <v>3175988.5889290832</v>
      </c>
      <c r="H24" s="197">
        <f t="shared" si="10"/>
        <v>3457741.5889290832</v>
      </c>
      <c r="I24" s="197">
        <f t="shared" si="10"/>
        <v>4147150.5889290832</v>
      </c>
      <c r="J24" s="197">
        <f t="shared" si="10"/>
        <v>2740246.5889290832</v>
      </c>
      <c r="K24" s="197">
        <f t="shared" si="10"/>
        <v>3246065.5889290832</v>
      </c>
      <c r="L24" s="197">
        <f t="shared" si="10"/>
        <v>3795542.5889290832</v>
      </c>
      <c r="M24" s="197">
        <f t="shared" si="10"/>
        <v>1291634.5889290832</v>
      </c>
      <c r="N24" s="197">
        <f t="shared" si="10"/>
        <v>1402713.5889290832</v>
      </c>
      <c r="O24" s="197">
        <f t="shared" si="10"/>
        <v>1091165.5889290832</v>
      </c>
      <c r="P24" s="197">
        <f t="shared" si="10"/>
        <v>1015736.5889290832</v>
      </c>
      <c r="Q24" s="197">
        <f t="shared" si="10"/>
        <v>528503.5889290832</v>
      </c>
      <c r="R24" s="197">
        <f t="shared" si="10"/>
        <v>4362675.5889290832</v>
      </c>
      <c r="S24" s="198">
        <f t="shared" si="10"/>
        <v>5651581.5889290832</v>
      </c>
      <c r="U24" s="23" t="s">
        <v>29</v>
      </c>
      <c r="V24" s="220">
        <f t="shared" ref="V24:V31" si="11">C15/$C$23</f>
        <v>4.8990806347995006E-2</v>
      </c>
    </row>
    <row r="25" spans="1:22" s="178" customFormat="1" x14ac:dyDescent="0.25">
      <c r="A25" s="182"/>
      <c r="B25" s="182"/>
      <c r="C25" s="182"/>
      <c r="D25" s="183">
        <f>D2+6</f>
        <v>42419</v>
      </c>
      <c r="E25" s="183">
        <f>D25+7</f>
        <v>42426</v>
      </c>
      <c r="F25" s="183">
        <f t="shared" ref="F25:S25" si="12">E25+7</f>
        <v>42433</v>
      </c>
      <c r="G25" s="183">
        <f t="shared" si="12"/>
        <v>42440</v>
      </c>
      <c r="H25" s="183">
        <f t="shared" si="12"/>
        <v>42447</v>
      </c>
      <c r="I25" s="183">
        <f t="shared" si="12"/>
        <v>42454</v>
      </c>
      <c r="J25" s="183">
        <f t="shared" si="12"/>
        <v>42461</v>
      </c>
      <c r="K25" s="183">
        <f t="shared" si="12"/>
        <v>42468</v>
      </c>
      <c r="L25" s="183">
        <f t="shared" si="12"/>
        <v>42475</v>
      </c>
      <c r="M25" s="183">
        <f t="shared" si="12"/>
        <v>42482</v>
      </c>
      <c r="N25" s="183">
        <f t="shared" si="12"/>
        <v>42489</v>
      </c>
      <c r="O25" s="183">
        <f t="shared" si="12"/>
        <v>42496</v>
      </c>
      <c r="P25" s="183">
        <f t="shared" si="12"/>
        <v>42503</v>
      </c>
      <c r="Q25" s="183">
        <f t="shared" si="12"/>
        <v>42510</v>
      </c>
      <c r="R25" s="183">
        <f t="shared" si="12"/>
        <v>42517</v>
      </c>
      <c r="S25" s="184">
        <f t="shared" si="12"/>
        <v>42524</v>
      </c>
      <c r="U25" s="23" t="s">
        <v>30</v>
      </c>
      <c r="V25" s="220">
        <f t="shared" si="11"/>
        <v>0</v>
      </c>
    </row>
    <row r="26" spans="1:22" s="178" customFormat="1" x14ac:dyDescent="0.25">
      <c r="A26" s="768" t="s">
        <v>721</v>
      </c>
      <c r="B26" s="768"/>
      <c r="C26" s="768"/>
      <c r="D26" s="559">
        <v>1805220</v>
      </c>
      <c r="E26" s="559">
        <v>1654280</v>
      </c>
      <c r="F26" s="559">
        <v>1716380</v>
      </c>
      <c r="G26" s="559">
        <v>1736850</v>
      </c>
      <c r="H26" s="559">
        <v>1733020</v>
      </c>
      <c r="I26" s="559"/>
      <c r="J26" s="559">
        <v>1846150</v>
      </c>
      <c r="K26" s="559">
        <v>1889330</v>
      </c>
      <c r="L26" s="559"/>
      <c r="M26" s="559"/>
      <c r="N26" s="559">
        <v>1955190</v>
      </c>
      <c r="O26" s="559">
        <v>1962480</v>
      </c>
      <c r="P26" s="559">
        <v>1983310</v>
      </c>
      <c r="Q26" s="559">
        <v>1970200</v>
      </c>
      <c r="R26" s="559">
        <v>1983530</v>
      </c>
      <c r="S26" s="559">
        <v>1822350</v>
      </c>
      <c r="T26" s="194"/>
      <c r="U26" s="23" t="s">
        <v>6</v>
      </c>
      <c r="V26" s="220">
        <f t="shared" si="11"/>
        <v>5.7659796600827797E-2</v>
      </c>
    </row>
    <row r="27" spans="1:22" s="178" customFormat="1" x14ac:dyDescent="0.25">
      <c r="A27" s="769" t="s">
        <v>1212</v>
      </c>
      <c r="B27" s="769"/>
      <c r="C27" s="769"/>
      <c r="D27" s="560">
        <v>343844</v>
      </c>
      <c r="E27" s="560">
        <v>332336</v>
      </c>
      <c r="F27" s="560">
        <v>329816</v>
      </c>
      <c r="G27" s="560">
        <v>330922</v>
      </c>
      <c r="H27" s="560">
        <v>329174</v>
      </c>
      <c r="I27" s="560"/>
      <c r="J27" s="560">
        <v>340178</v>
      </c>
      <c r="K27" s="560">
        <v>340178</v>
      </c>
      <c r="L27" s="560"/>
      <c r="M27" s="560"/>
      <c r="N27" s="560">
        <v>353878</v>
      </c>
      <c r="O27" s="560">
        <v>354250</v>
      </c>
      <c r="P27" s="560">
        <v>356542</v>
      </c>
      <c r="Q27" s="560">
        <v>358030</v>
      </c>
      <c r="R27" s="560">
        <v>360898</v>
      </c>
      <c r="S27" s="560">
        <v>337056</v>
      </c>
      <c r="T27" s="195"/>
      <c r="U27" s="23" t="s">
        <v>8</v>
      </c>
      <c r="V27" s="220">
        <f t="shared" si="11"/>
        <v>1.7665378860547733E-2</v>
      </c>
    </row>
    <row r="28" spans="1:22" x14ac:dyDescent="0.25">
      <c r="A28" s="770" t="s">
        <v>1985</v>
      </c>
      <c r="B28" s="770"/>
      <c r="C28" s="770"/>
      <c r="D28" s="561">
        <v>1516360</v>
      </c>
      <c r="E28" s="561">
        <v>1404590</v>
      </c>
      <c r="F28" s="561">
        <v>1458340</v>
      </c>
      <c r="G28" s="561">
        <v>1478550</v>
      </c>
      <c r="H28" s="561">
        <v>1480220</v>
      </c>
      <c r="I28" s="561"/>
      <c r="J28" s="561">
        <v>1585860</v>
      </c>
      <c r="K28" s="561">
        <v>1625600</v>
      </c>
      <c r="L28" s="561"/>
      <c r="M28" s="561"/>
      <c r="N28" s="561">
        <v>1634970</v>
      </c>
      <c r="O28" s="561">
        <v>1640290</v>
      </c>
      <c r="P28" s="561">
        <v>1659900</v>
      </c>
      <c r="Q28" s="561">
        <v>1672350</v>
      </c>
      <c r="R28" s="561">
        <v>1670930</v>
      </c>
      <c r="S28" s="561">
        <v>1576610</v>
      </c>
      <c r="T28" s="192"/>
      <c r="U28" s="23" t="s">
        <v>50</v>
      </c>
      <c r="V28" s="220">
        <f t="shared" si="11"/>
        <v>0.46983150761642811</v>
      </c>
    </row>
    <row r="29" spans="1:22" x14ac:dyDescent="0.25">
      <c r="A29" s="768" t="s">
        <v>1986</v>
      </c>
      <c r="B29" s="768"/>
      <c r="C29" s="768"/>
      <c r="D29" s="562">
        <v>269204</v>
      </c>
      <c r="E29" s="562">
        <v>256088</v>
      </c>
      <c r="F29" s="562">
        <v>256088</v>
      </c>
      <c r="G29" s="562">
        <v>254244</v>
      </c>
      <c r="H29" s="562">
        <v>254244</v>
      </c>
      <c r="I29" s="562"/>
      <c r="J29" s="562">
        <v>273598</v>
      </c>
      <c r="K29" s="562">
        <v>268416</v>
      </c>
      <c r="L29" s="562"/>
      <c r="M29" s="562"/>
      <c r="N29" s="562">
        <v>275504</v>
      </c>
      <c r="O29" s="562">
        <v>275876</v>
      </c>
      <c r="P29" s="562">
        <v>278168</v>
      </c>
      <c r="Q29" s="562">
        <v>278168</v>
      </c>
      <c r="R29" s="562">
        <v>278168</v>
      </c>
      <c r="S29" s="562">
        <v>272156</v>
      </c>
      <c r="T29" s="192"/>
      <c r="U29" s="23" t="s">
        <v>11</v>
      </c>
      <c r="V29" s="220">
        <f t="shared" si="11"/>
        <v>0</v>
      </c>
    </row>
    <row r="30" spans="1:22" s="6" customFormat="1" x14ac:dyDescent="0.25">
      <c r="A30" s="769" t="s">
        <v>1987</v>
      </c>
      <c r="B30" s="769"/>
      <c r="C30" s="769"/>
      <c r="D30" s="563">
        <v>6.5</v>
      </c>
      <c r="E30" s="563">
        <v>6.25</v>
      </c>
      <c r="F30" s="563">
        <v>6.25</v>
      </c>
      <c r="G30" s="563">
        <v>6.25</v>
      </c>
      <c r="H30" s="563">
        <v>6.25</v>
      </c>
      <c r="I30" s="563"/>
      <c r="J30" s="563">
        <v>5.75</v>
      </c>
      <c r="K30" s="563">
        <v>6</v>
      </c>
      <c r="L30" s="563"/>
      <c r="M30" s="563"/>
      <c r="N30" s="563">
        <v>6</v>
      </c>
      <c r="O30" s="563">
        <v>6</v>
      </c>
      <c r="P30" s="563">
        <v>6</v>
      </c>
      <c r="Q30" s="563">
        <v>6</v>
      </c>
      <c r="R30" s="563">
        <v>6</v>
      </c>
      <c r="S30" s="563">
        <v>5.75</v>
      </c>
      <c r="U30" s="23" t="s">
        <v>818</v>
      </c>
      <c r="V30" s="220">
        <f t="shared" si="11"/>
        <v>3.3122585363526999E-3</v>
      </c>
    </row>
    <row r="31" spans="1:22" s="6" customFormat="1" x14ac:dyDescent="0.25">
      <c r="A31" s="770" t="s">
        <v>1988</v>
      </c>
      <c r="B31" s="770"/>
      <c r="C31" s="770"/>
      <c r="D31" s="564">
        <v>6.75</v>
      </c>
      <c r="E31" s="564">
        <v>6.75</v>
      </c>
      <c r="F31" s="564">
        <v>6.75</v>
      </c>
      <c r="G31" s="564">
        <v>6.75</v>
      </c>
      <c r="H31" s="564">
        <v>6.75</v>
      </c>
      <c r="I31" s="564"/>
      <c r="J31" s="564">
        <v>6.75</v>
      </c>
      <c r="K31" s="564">
        <v>6.75</v>
      </c>
      <c r="L31" s="564"/>
      <c r="M31" s="564"/>
      <c r="N31" s="564">
        <v>6.75</v>
      </c>
      <c r="O31" s="564">
        <v>6.75</v>
      </c>
      <c r="P31" s="564">
        <v>6.75</v>
      </c>
      <c r="Q31" s="564">
        <v>6.75</v>
      </c>
      <c r="R31" s="564">
        <v>6.75</v>
      </c>
      <c r="S31" s="564">
        <v>6.5</v>
      </c>
      <c r="U31" s="23" t="s">
        <v>10</v>
      </c>
      <c r="V31" s="220">
        <f t="shared" si="11"/>
        <v>0</v>
      </c>
    </row>
    <row r="32" spans="1:22" s="6" customFormat="1" x14ac:dyDescent="0.25">
      <c r="A32" s="768" t="s">
        <v>1989</v>
      </c>
      <c r="B32" s="768"/>
      <c r="C32" s="768"/>
      <c r="D32" s="562" t="s">
        <v>2523</v>
      </c>
      <c r="E32" s="562" t="s">
        <v>2526</v>
      </c>
      <c r="F32" s="562" t="s">
        <v>2527</v>
      </c>
      <c r="G32" s="562" t="s">
        <v>2529</v>
      </c>
      <c r="H32" s="562" t="s">
        <v>2530</v>
      </c>
      <c r="I32" s="562"/>
      <c r="J32" s="562" t="s">
        <v>2526</v>
      </c>
      <c r="K32" s="562" t="s">
        <v>2533</v>
      </c>
      <c r="L32" s="562"/>
      <c r="M32" s="562"/>
      <c r="N32" s="562" t="s">
        <v>2538</v>
      </c>
      <c r="O32" s="562" t="s">
        <v>2539</v>
      </c>
      <c r="P32" s="562" t="s">
        <v>2540</v>
      </c>
      <c r="Q32" s="562" t="s">
        <v>2542</v>
      </c>
      <c r="R32" s="562" t="s">
        <v>2543</v>
      </c>
      <c r="S32" s="562" t="s">
        <v>2547</v>
      </c>
    </row>
    <row r="33" spans="1:22" s="6" customFormat="1" x14ac:dyDescent="0.25">
      <c r="A33" s="769" t="s">
        <v>1990</v>
      </c>
      <c r="B33" s="769"/>
      <c r="C33" s="769"/>
      <c r="D33" s="563">
        <v>6</v>
      </c>
      <c r="E33" s="563">
        <v>6.75</v>
      </c>
      <c r="F33" s="563">
        <v>6.25</v>
      </c>
      <c r="G33" s="563">
        <v>6.5</v>
      </c>
      <c r="H33" s="563">
        <v>6.5</v>
      </c>
      <c r="I33" s="563"/>
      <c r="J33" s="563">
        <v>6.25</v>
      </c>
      <c r="K33" s="563">
        <v>6.5</v>
      </c>
      <c r="L33" s="563"/>
      <c r="M33" s="563"/>
      <c r="N33" s="563">
        <v>6.5</v>
      </c>
      <c r="O33" s="563">
        <v>6.75</v>
      </c>
      <c r="P33" s="563">
        <v>6.75</v>
      </c>
      <c r="Q33" s="563">
        <v>6.75</v>
      </c>
      <c r="R33" s="563">
        <v>6.75</v>
      </c>
      <c r="S33" s="563">
        <v>7.5</v>
      </c>
    </row>
    <row r="34" spans="1:22" s="6" customFormat="1" ht="18.75" x14ac:dyDescent="0.3">
      <c r="A34" s="192"/>
      <c r="B34" s="192"/>
      <c r="C34" s="192"/>
      <c r="D34" s="192"/>
      <c r="E34" s="192"/>
      <c r="F34" s="192"/>
      <c r="G34" s="192"/>
      <c r="H34" s="192"/>
      <c r="I34" s="192"/>
      <c r="J34" s="192"/>
      <c r="K34" s="192"/>
      <c r="L34" s="192"/>
      <c r="M34" s="192"/>
      <c r="N34" s="192"/>
      <c r="O34" s="192"/>
      <c r="P34" s="192"/>
      <c r="Q34" s="192"/>
      <c r="R34" s="192"/>
      <c r="S34" s="192"/>
      <c r="V34" s="221">
        <f>SUM(V23:V31)</f>
        <v>1</v>
      </c>
    </row>
    <row r="35" spans="1:22" s="6" customFormat="1" ht="18.75" x14ac:dyDescent="0.3">
      <c r="A35" s="27"/>
      <c r="B35" s="752" t="s">
        <v>821</v>
      </c>
      <c r="C35" s="167" t="s">
        <v>819</v>
      </c>
      <c r="D35" s="189">
        <v>15116496</v>
      </c>
      <c r="E35" s="189">
        <v>15116496</v>
      </c>
      <c r="F35" s="189">
        <f>'A-P_T49'!$C$14</f>
        <v>12929460</v>
      </c>
      <c r="G35" s="189">
        <f>'A-P_T49'!$C$14</f>
        <v>12929460</v>
      </c>
      <c r="H35" s="189">
        <f>'A-P_T49'!$C$14</f>
        <v>12929460</v>
      </c>
      <c r="I35" s="189"/>
      <c r="J35" s="189">
        <f>'A-P_T49'!$C$14</f>
        <v>12929460</v>
      </c>
      <c r="K35" s="189">
        <f>'A-P_T49'!$C$14</f>
        <v>12929460</v>
      </c>
      <c r="L35" s="189">
        <f>'A-P_T49'!$C$14</f>
        <v>12929460</v>
      </c>
      <c r="M35" s="189">
        <f>'A-P_T49'!$C$14</f>
        <v>12929460</v>
      </c>
      <c r="N35" s="189">
        <f>'A-P_T49'!$C$14</f>
        <v>12929460</v>
      </c>
      <c r="O35" s="189">
        <f>'A-P_T49'!$C$14</f>
        <v>12929460</v>
      </c>
      <c r="P35" s="189">
        <f>'A-P_T49'!$C$14</f>
        <v>12929460</v>
      </c>
      <c r="Q35" s="189">
        <f>'A-P_T49'!$C$14</f>
        <v>12929460</v>
      </c>
      <c r="R35" s="189">
        <f>'A-P_T49'!$C$14</f>
        <v>12929460</v>
      </c>
      <c r="S35" s="189">
        <f>'A-P_T49'!$C$14</f>
        <v>12929460</v>
      </c>
      <c r="U35" s="746">
        <f>C23</f>
        <v>13585896</v>
      </c>
      <c r="V35" s="747"/>
    </row>
    <row r="36" spans="1:22" x14ac:dyDescent="0.25">
      <c r="A36" s="27"/>
      <c r="B36" s="753"/>
      <c r="C36" s="167" t="s">
        <v>481</v>
      </c>
      <c r="D36" s="189">
        <v>16408414</v>
      </c>
      <c r="E36" s="189">
        <v>16408414</v>
      </c>
      <c r="F36" s="189">
        <f>'A-P_T49'!$C$13</f>
        <v>19838966</v>
      </c>
      <c r="G36" s="189">
        <f>'A-P_T49'!$C$13</f>
        <v>19838966</v>
      </c>
      <c r="H36" s="189">
        <f>'A-P_T49'!$C$13</f>
        <v>19838966</v>
      </c>
      <c r="I36" s="189"/>
      <c r="J36" s="189">
        <f>'A-P_T49'!$C$13</f>
        <v>19838966</v>
      </c>
      <c r="K36" s="189">
        <f>'A-P_T49'!$C$13</f>
        <v>19838966</v>
      </c>
      <c r="L36" s="189">
        <f>'A-P_T49'!$C$13</f>
        <v>19838966</v>
      </c>
      <c r="M36" s="189">
        <f>'A-P_T49'!$C$13</f>
        <v>19838966</v>
      </c>
      <c r="N36" s="189">
        <f>'A-P_T49'!$C$13</f>
        <v>19838966</v>
      </c>
      <c r="O36" s="189">
        <f>'A-P_T49'!$C$13</f>
        <v>19838966</v>
      </c>
      <c r="P36" s="189">
        <f>'A-P_T49'!$C$13</f>
        <v>19838966</v>
      </c>
      <c r="Q36" s="189">
        <f>'A-P_T49'!$C$13</f>
        <v>19838966</v>
      </c>
      <c r="R36" s="189">
        <f>'A-P_T49'!$C$13</f>
        <v>19838966</v>
      </c>
      <c r="S36" s="189">
        <f>'A-P_T49'!$C$13</f>
        <v>19838966</v>
      </c>
    </row>
    <row r="37" spans="1:22" x14ac:dyDescent="0.25">
      <c r="A37" s="27"/>
      <c r="B37" s="753"/>
      <c r="C37" s="167" t="s">
        <v>1385</v>
      </c>
      <c r="D37" s="189">
        <v>535804</v>
      </c>
      <c r="E37" s="189">
        <v>100092</v>
      </c>
      <c r="F37" s="189">
        <f>'A-P_T49'!$C$12+'A-P_T49'!$C$15</f>
        <v>196430</v>
      </c>
      <c r="G37" s="189">
        <f>'A-P_T49'!$C$12+'A-P_T49'!$C$15</f>
        <v>196430</v>
      </c>
      <c r="H37" s="189">
        <f>'A-P_T49'!$C$12+'A-P_T49'!$C$15</f>
        <v>196430</v>
      </c>
      <c r="I37" s="189"/>
      <c r="J37" s="189">
        <f>'A-P_T49'!$C$12+'A-P_T49'!$C$15</f>
        <v>196430</v>
      </c>
      <c r="K37" s="189">
        <f>'A-P_T49'!$C$12+'A-P_T49'!$C$15</f>
        <v>196430</v>
      </c>
      <c r="L37" s="189">
        <f>'A-P_T49'!$C$12+'A-P_T49'!$C$15</f>
        <v>196430</v>
      </c>
      <c r="M37" s="189">
        <f>'A-P_T49'!$C$12+'A-P_T49'!$C$15</f>
        <v>196430</v>
      </c>
      <c r="N37" s="189">
        <f>'A-P_T49'!$C$12+'A-P_T49'!$C$15</f>
        <v>196430</v>
      </c>
      <c r="O37" s="189">
        <f>'A-P_T49'!$C$12+'A-P_T49'!$C$15</f>
        <v>196430</v>
      </c>
      <c r="P37" s="189">
        <f>'A-P_T49'!$C$12+'A-P_T49'!$C$15</f>
        <v>196430</v>
      </c>
      <c r="Q37" s="189">
        <f>'A-P_T49'!$C$12+'A-P_T49'!$C$15</f>
        <v>196430</v>
      </c>
      <c r="R37" s="189">
        <f>'A-P_T49'!$C$12+'A-P_T49'!$C$15</f>
        <v>196430</v>
      </c>
      <c r="S37" s="189">
        <f>'A-P_T49'!$C$12+'A-P_T49'!$C$15</f>
        <v>196430</v>
      </c>
    </row>
    <row r="38" spans="1:22" x14ac:dyDescent="0.25">
      <c r="A38" s="27"/>
      <c r="B38" s="754"/>
      <c r="C38" s="299" t="s">
        <v>291</v>
      </c>
      <c r="D38" s="300">
        <f>D37+D36+D35</f>
        <v>32060714</v>
      </c>
      <c r="E38" s="300">
        <v>31625002</v>
      </c>
      <c r="F38" s="300">
        <f t="shared" ref="F38:S38" si="13">F37+F36+F35</f>
        <v>32964856</v>
      </c>
      <c r="G38" s="300">
        <f t="shared" si="13"/>
        <v>32964856</v>
      </c>
      <c r="H38" s="300">
        <f t="shared" si="13"/>
        <v>32964856</v>
      </c>
      <c r="I38" s="300"/>
      <c r="J38" s="300">
        <f t="shared" si="13"/>
        <v>32964856</v>
      </c>
      <c r="K38" s="300">
        <f t="shared" si="13"/>
        <v>32964856</v>
      </c>
      <c r="L38" s="300">
        <f t="shared" si="13"/>
        <v>32964856</v>
      </c>
      <c r="M38" s="300">
        <f t="shared" si="13"/>
        <v>32964856</v>
      </c>
      <c r="N38" s="300">
        <f t="shared" si="13"/>
        <v>32964856</v>
      </c>
      <c r="O38" s="300">
        <f t="shared" si="13"/>
        <v>32964856</v>
      </c>
      <c r="P38" s="300">
        <f t="shared" si="13"/>
        <v>32964856</v>
      </c>
      <c r="Q38" s="300">
        <f t="shared" si="13"/>
        <v>32964856</v>
      </c>
      <c r="R38" s="300">
        <f t="shared" si="13"/>
        <v>32964856</v>
      </c>
      <c r="S38" s="300">
        <f t="shared" si="13"/>
        <v>32964856</v>
      </c>
    </row>
    <row r="39" spans="1:22" x14ac:dyDescent="0.25">
      <c r="C39" s="192"/>
      <c r="D39" s="247"/>
      <c r="E39"/>
      <c r="F39" s="247"/>
      <c r="G39" s="247"/>
      <c r="H39" s="247"/>
      <c r="J39"/>
      <c r="K39"/>
      <c r="L39"/>
    </row>
    <row r="40" spans="1:22" x14ac:dyDescent="0.25">
      <c r="H40" s="692"/>
      <c r="I40" s="692"/>
      <c r="J40" s="692"/>
      <c r="K40" s="692"/>
      <c r="M40" s="632"/>
    </row>
    <row r="41" spans="1:22" x14ac:dyDescent="0.25">
      <c r="H41" s="478"/>
      <c r="I41" s="478"/>
      <c r="J41" s="692"/>
      <c r="K41" s="692"/>
    </row>
    <row r="42" spans="1:22" x14ac:dyDescent="0.25">
      <c r="F42" s="693"/>
      <c r="G42" s="693"/>
      <c r="H42" s="693"/>
      <c r="I42" s="693"/>
      <c r="J42" s="693"/>
      <c r="K42" s="693"/>
      <c r="L42" s="693"/>
      <c r="M42" s="693"/>
      <c r="N42" s="693"/>
      <c r="O42" s="693"/>
      <c r="P42" s="693"/>
      <c r="Q42" s="693"/>
      <c r="R42" s="693"/>
      <c r="S42" s="693"/>
    </row>
    <row r="43" spans="1:22" x14ac:dyDescent="0.25">
      <c r="H43" s="692"/>
      <c r="I43" s="692"/>
      <c r="J43" s="692"/>
      <c r="K43" s="692"/>
    </row>
    <row r="44" spans="1:22" x14ac:dyDescent="0.25">
      <c r="E44" s="316"/>
      <c r="F44" s="316"/>
      <c r="G44" s="316"/>
      <c r="H44" s="316"/>
      <c r="I44" s="316"/>
      <c r="J44" s="478"/>
      <c r="K44" s="478"/>
      <c r="L44" s="478"/>
      <c r="M44" s="478"/>
      <c r="N44" s="478"/>
      <c r="O44" s="478"/>
      <c r="P44" s="478"/>
      <c r="Q44" s="478"/>
      <c r="R44" s="478"/>
      <c r="S44" s="478"/>
    </row>
    <row r="45" spans="1:22" x14ac:dyDescent="0.25">
      <c r="H45" s="727"/>
      <c r="I45" s="727"/>
      <c r="J45" s="727"/>
      <c r="K45" s="727"/>
    </row>
    <row r="46" spans="1:22" x14ac:dyDescent="0.25">
      <c r="H46" s="692"/>
      <c r="I46" s="692"/>
      <c r="J46" s="692"/>
      <c r="K46" s="692"/>
    </row>
    <row r="47" spans="1:22" x14ac:dyDescent="0.25">
      <c r="H47" s="727"/>
      <c r="I47" s="727"/>
      <c r="J47" s="727"/>
      <c r="K47" s="727"/>
    </row>
    <row r="48" spans="1:22" ht="15" customHeight="1" x14ac:dyDescent="0.25">
      <c r="H48" s="727"/>
      <c r="I48" s="727"/>
      <c r="J48" s="727"/>
      <c r="K48" s="4"/>
    </row>
  </sheetData>
  <mergeCells count="16">
    <mergeCell ref="U35:V35"/>
    <mergeCell ref="H45:K45"/>
    <mergeCell ref="H47:K47"/>
    <mergeCell ref="H48:J48"/>
    <mergeCell ref="A29:C29"/>
    <mergeCell ref="A30:C30"/>
    <mergeCell ref="A31:C31"/>
    <mergeCell ref="A32:C32"/>
    <mergeCell ref="A33:C33"/>
    <mergeCell ref="B35:B38"/>
    <mergeCell ref="A28:C28"/>
    <mergeCell ref="A11:A12"/>
    <mergeCell ref="U14:V14"/>
    <mergeCell ref="A20:A21"/>
    <mergeCell ref="A26:C26"/>
    <mergeCell ref="A27:C27"/>
  </mergeCells>
  <pageMargins left="0.7" right="0.7" top="0.75" bottom="0.75" header="0.3" footer="0.3"/>
  <pageSetup paperSize="9" orientation="portrait" horizontalDpi="200" verticalDpi="200" r:id="rId1"/>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V74"/>
  <sheetViews>
    <sheetView zoomScale="90" zoomScaleNormal="90" workbookViewId="0">
      <pane xSplit="9" ySplit="3" topLeftCell="J4" activePane="bottomRight" state="frozen"/>
      <selection pane="topRight" activeCell="J1" sqref="J1"/>
      <selection pane="bottomLeft" activeCell="A3" sqref="A3"/>
      <selection pane="bottomRight" activeCell="Q23" sqref="Q23"/>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21" bestFit="1" customWidth="1"/>
    <col min="6" max="6" width="18" style="225" bestFit="1" customWidth="1"/>
    <col min="7" max="7" width="7.7109375" style="225" bestFit="1" customWidth="1"/>
    <col min="8" max="8" width="2.85546875" customWidth="1"/>
    <col min="9" max="9" width="7.7109375" style="5" bestFit="1" customWidth="1"/>
    <col min="10" max="10" width="18" style="6" bestFit="1" customWidth="1"/>
    <col min="11" max="11" width="14.42578125" style="5" bestFit="1" customWidth="1"/>
    <col min="12" max="12" width="10" style="5" bestFit="1" customWidth="1"/>
    <col min="13" max="13" width="12.7109375" style="5" bestFit="1" customWidth="1"/>
    <col min="14" max="14" width="12.140625" style="5" bestFit="1" customWidth="1"/>
    <col min="15" max="15" width="12.7109375" style="5" bestFit="1" customWidth="1"/>
    <col min="16" max="16" width="12.85546875" style="5" bestFit="1" customWidth="1"/>
    <col min="17" max="17" width="8.5703125" style="502" bestFit="1" customWidth="1"/>
    <col min="18" max="18" width="9.140625" style="5" bestFit="1" customWidth="1"/>
    <col min="19" max="19" width="10.140625" style="5" bestFit="1" customWidth="1"/>
    <col min="20" max="20" width="7.7109375" bestFit="1" customWidth="1"/>
    <col min="21" max="22" width="12.7109375" bestFit="1" customWidth="1"/>
  </cols>
  <sheetData>
    <row r="1" spans="2:22" ht="9" customHeight="1" x14ac:dyDescent="0.25">
      <c r="I1"/>
      <c r="J1" s="2"/>
      <c r="K1"/>
      <c r="L1"/>
      <c r="M1"/>
      <c r="N1"/>
      <c r="O1"/>
      <c r="P1"/>
      <c r="Q1" s="321"/>
      <c r="R1"/>
      <c r="S1"/>
    </row>
    <row r="2" spans="2:22" ht="21" x14ac:dyDescent="0.35">
      <c r="B2" s="735" t="s">
        <v>2520</v>
      </c>
      <c r="C2" s="736"/>
      <c r="D2" s="736"/>
      <c r="E2" s="736"/>
      <c r="F2" s="736"/>
      <c r="G2" s="757"/>
      <c r="I2" s="765" t="s">
        <v>2521</v>
      </c>
      <c r="J2" s="766"/>
      <c r="K2" s="766"/>
      <c r="L2" s="766"/>
      <c r="M2" s="766"/>
      <c r="N2" s="766"/>
      <c r="O2" s="766"/>
      <c r="P2" s="766"/>
      <c r="Q2" s="766"/>
      <c r="R2" s="766"/>
      <c r="S2" s="767"/>
    </row>
    <row r="3" spans="2:22" x14ac:dyDescent="0.25">
      <c r="B3" s="755" t="s">
        <v>1025</v>
      </c>
      <c r="C3" s="749"/>
      <c r="D3" s="749"/>
      <c r="E3" s="749"/>
      <c r="F3" s="749"/>
      <c r="G3" s="756"/>
      <c r="I3" s="346" t="s">
        <v>36</v>
      </c>
      <c r="J3" s="17" t="s">
        <v>481</v>
      </c>
      <c r="K3" s="17" t="s">
        <v>50</v>
      </c>
      <c r="L3" s="17" t="s">
        <v>1332</v>
      </c>
      <c r="M3" s="17" t="s">
        <v>879</v>
      </c>
      <c r="N3" s="17" t="s">
        <v>1333</v>
      </c>
      <c r="O3" s="17" t="s">
        <v>950</v>
      </c>
      <c r="P3" s="17" t="s">
        <v>1336</v>
      </c>
      <c r="Q3" s="406" t="s">
        <v>1326</v>
      </c>
      <c r="R3" s="345" t="s">
        <v>1337</v>
      </c>
      <c r="S3" s="345" t="s">
        <v>1334</v>
      </c>
      <c r="T3" s="345" t="s">
        <v>1920</v>
      </c>
    </row>
    <row r="4" spans="2:22" ht="18.75" x14ac:dyDescent="0.3">
      <c r="B4" s="759" t="s">
        <v>948</v>
      </c>
      <c r="C4" s="760"/>
      <c r="D4" s="268"/>
      <c r="E4" s="761" t="s">
        <v>949</v>
      </c>
      <c r="F4" s="762"/>
      <c r="G4" s="268"/>
      <c r="I4" s="334" t="s">
        <v>1006</v>
      </c>
      <c r="J4" s="337" t="s">
        <v>2400</v>
      </c>
      <c r="K4" s="335">
        <v>977936</v>
      </c>
      <c r="L4" s="335">
        <v>0</v>
      </c>
      <c r="M4" s="335">
        <v>1350000</v>
      </c>
      <c r="N4" s="335">
        <f>M4-1255500</f>
        <v>94500</v>
      </c>
      <c r="O4" s="335">
        <f t="shared" ref="O4:O26" si="0">IF(M4=0,0,M4-K4)-N4</f>
        <v>277564</v>
      </c>
      <c r="P4" s="335">
        <f t="shared" ref="P4:P26" si="1">IF(M4=0,K4,0)</f>
        <v>0</v>
      </c>
      <c r="Q4" s="405">
        <f t="shared" ref="Q4" si="2">O4/K4</f>
        <v>0.28382634446425942</v>
      </c>
      <c r="R4" s="348">
        <v>42266</v>
      </c>
      <c r="S4" s="348">
        <v>42456</v>
      </c>
      <c r="T4" s="247" t="s">
        <v>2492</v>
      </c>
      <c r="U4" s="247"/>
      <c r="V4" s="247"/>
    </row>
    <row r="5" spans="2:22" x14ac:dyDescent="0.25">
      <c r="B5" s="243"/>
      <c r="C5" s="244"/>
      <c r="D5" s="423"/>
      <c r="E5" s="243"/>
      <c r="F5" s="244"/>
      <c r="G5" s="269"/>
      <c r="I5" s="187" t="s">
        <v>1006</v>
      </c>
      <c r="J5" s="336" t="s">
        <v>2363</v>
      </c>
      <c r="K5" s="333">
        <v>4285170</v>
      </c>
      <c r="L5" s="333">
        <v>0</v>
      </c>
      <c r="M5" s="333">
        <v>0</v>
      </c>
      <c r="N5" s="333">
        <v>0</v>
      </c>
      <c r="O5" s="343">
        <f t="shared" si="0"/>
        <v>0</v>
      </c>
      <c r="P5" s="333">
        <f t="shared" si="1"/>
        <v>4285170</v>
      </c>
      <c r="Q5" s="403"/>
      <c r="R5" s="347">
        <v>42200</v>
      </c>
      <c r="S5" s="347"/>
      <c r="T5" s="247" t="s">
        <v>2492</v>
      </c>
      <c r="U5" s="247"/>
      <c r="V5" s="622"/>
    </row>
    <row r="6" spans="2:22" x14ac:dyDescent="0.25">
      <c r="B6" s="226" t="s">
        <v>951</v>
      </c>
      <c r="C6" s="242">
        <f>SUM(C7:C9)</f>
        <v>4571395</v>
      </c>
      <c r="D6" s="304">
        <f>C6/C30</f>
        <v>8.0534372108865271E-2</v>
      </c>
      <c r="E6" s="226" t="s">
        <v>1329</v>
      </c>
      <c r="F6" s="242">
        <f>F7+F8+F9</f>
        <v>38769104.949943811</v>
      </c>
      <c r="G6" s="271">
        <f>F6/$F$30</f>
        <v>0.68299621986481784</v>
      </c>
      <c r="I6" s="187" t="s">
        <v>1004</v>
      </c>
      <c r="J6" s="336" t="s">
        <v>2409</v>
      </c>
      <c r="K6" s="333">
        <v>2568848</v>
      </c>
      <c r="L6" s="333">
        <v>0</v>
      </c>
      <c r="M6" s="333">
        <v>0</v>
      </c>
      <c r="N6" s="333">
        <v>0</v>
      </c>
      <c r="O6" s="343">
        <f t="shared" si="0"/>
        <v>0</v>
      </c>
      <c r="P6" s="333">
        <f t="shared" si="1"/>
        <v>2568848</v>
      </c>
      <c r="Q6" s="403"/>
      <c r="R6" s="347">
        <v>42278</v>
      </c>
      <c r="S6" s="347"/>
      <c r="T6" s="247" t="s">
        <v>2492</v>
      </c>
      <c r="U6" s="247"/>
      <c r="V6" s="622"/>
    </row>
    <row r="7" spans="2:22" ht="15" customHeight="1" x14ac:dyDescent="0.25">
      <c r="B7" s="249" t="s">
        <v>30</v>
      </c>
      <c r="C7" s="250">
        <f>'A-P_T48'!C7+EconomiaT49!C16</f>
        <v>3392395</v>
      </c>
      <c r="D7" s="424">
        <f>C7/C30</f>
        <v>5.9763901669020944E-2</v>
      </c>
      <c r="E7" s="425" t="s">
        <v>1029</v>
      </c>
      <c r="F7" s="237">
        <v>300000</v>
      </c>
      <c r="G7" s="272">
        <f>F7/$F$30</f>
        <v>5.2851069485353782E-3</v>
      </c>
      <c r="I7" s="187" t="s">
        <v>1006</v>
      </c>
      <c r="J7" s="336" t="s">
        <v>2356</v>
      </c>
      <c r="K7" s="333">
        <v>240010</v>
      </c>
      <c r="L7" s="333">
        <v>0</v>
      </c>
      <c r="M7" s="333">
        <v>0</v>
      </c>
      <c r="N7" s="333">
        <v>0</v>
      </c>
      <c r="O7" s="343">
        <f t="shared" si="0"/>
        <v>0</v>
      </c>
      <c r="P7" s="333">
        <f t="shared" si="1"/>
        <v>240010</v>
      </c>
      <c r="Q7" s="403"/>
      <c r="R7" s="347">
        <v>42200</v>
      </c>
      <c r="S7" s="347"/>
      <c r="T7" s="247" t="s">
        <v>2492</v>
      </c>
      <c r="U7" s="247"/>
      <c r="V7" s="30"/>
    </row>
    <row r="8" spans="2:22" x14ac:dyDescent="0.25">
      <c r="B8" s="249" t="s">
        <v>11</v>
      </c>
      <c r="C8" s="250">
        <f>'A-P_T48'!C8+EconomiaT49!C20</f>
        <v>1179000</v>
      </c>
      <c r="D8" s="424">
        <f>C8/C30</f>
        <v>2.0770470439844327E-2</v>
      </c>
      <c r="E8" s="425" t="s">
        <v>1602</v>
      </c>
      <c r="F8" s="237">
        <f>'A-P_T48'!F9+'A-P_T48'!F8</f>
        <v>35665896.227914356</v>
      </c>
      <c r="G8" s="272">
        <f>F8/$F$30</f>
        <v>0.62832691993297296</v>
      </c>
      <c r="I8" s="187" t="s">
        <v>1006</v>
      </c>
      <c r="J8" s="336" t="s">
        <v>2373</v>
      </c>
      <c r="K8" s="333">
        <v>1348</v>
      </c>
      <c r="L8" s="333">
        <v>0</v>
      </c>
      <c r="M8" s="333">
        <v>0</v>
      </c>
      <c r="N8" s="333">
        <v>0</v>
      </c>
      <c r="O8" s="343">
        <f t="shared" si="0"/>
        <v>0</v>
      </c>
      <c r="P8" s="333">
        <f t="shared" si="1"/>
        <v>1348</v>
      </c>
      <c r="Q8" s="403"/>
      <c r="R8" s="347">
        <v>42205</v>
      </c>
      <c r="S8" s="347"/>
      <c r="T8" s="247" t="s">
        <v>2492</v>
      </c>
      <c r="U8" s="247"/>
      <c r="V8" s="622"/>
    </row>
    <row r="9" spans="2:22" ht="15" customHeight="1" x14ac:dyDescent="0.25">
      <c r="B9" s="245" t="s">
        <v>1026</v>
      </c>
      <c r="C9" s="248">
        <v>0</v>
      </c>
      <c r="D9" s="424">
        <f>C9/C30</f>
        <v>0</v>
      </c>
      <c r="E9" s="425" t="s">
        <v>2522</v>
      </c>
      <c r="F9" s="237">
        <f>'A-P_T48'!F11+EconomiaT48!C24-EconomiaT48!C5+624948</f>
        <v>2803208.722029455</v>
      </c>
      <c r="G9" s="272">
        <f>F9/$F$30</f>
        <v>4.9384192983309504E-2</v>
      </c>
      <c r="I9" s="187" t="s">
        <v>1004</v>
      </c>
      <c r="J9" s="336" t="s">
        <v>2407</v>
      </c>
      <c r="K9" s="333">
        <v>2675604</v>
      </c>
      <c r="L9" s="333">
        <v>0</v>
      </c>
      <c r="M9" s="333">
        <v>0</v>
      </c>
      <c r="N9" s="333">
        <v>0</v>
      </c>
      <c r="O9" s="343">
        <f t="shared" si="0"/>
        <v>0</v>
      </c>
      <c r="P9" s="333">
        <f t="shared" si="1"/>
        <v>2675604</v>
      </c>
      <c r="Q9" s="403"/>
      <c r="R9" s="347">
        <v>42267</v>
      </c>
      <c r="S9" s="347"/>
      <c r="T9" s="247" t="s">
        <v>2492</v>
      </c>
      <c r="U9" s="247"/>
      <c r="V9" s="378"/>
    </row>
    <row r="10" spans="2:22" ht="15" customHeight="1" x14ac:dyDescent="0.25">
      <c r="B10" s="228"/>
      <c r="C10" s="227"/>
      <c r="D10" s="304"/>
      <c r="E10" s="426"/>
      <c r="F10" s="227"/>
      <c r="G10" s="271"/>
      <c r="I10" s="187" t="s">
        <v>1006</v>
      </c>
      <c r="J10" s="336" t="s">
        <v>2024</v>
      </c>
      <c r="K10" s="333">
        <v>3329940</v>
      </c>
      <c r="L10" s="333">
        <v>0</v>
      </c>
      <c r="M10" s="333">
        <v>0</v>
      </c>
      <c r="N10" s="333">
        <v>0</v>
      </c>
      <c r="O10" s="343">
        <f t="shared" si="0"/>
        <v>0</v>
      </c>
      <c r="P10" s="333">
        <f t="shared" si="1"/>
        <v>3329940</v>
      </c>
      <c r="Q10" s="403"/>
      <c r="R10" s="347">
        <v>41992</v>
      </c>
      <c r="S10" s="347"/>
      <c r="T10" s="247" t="s">
        <v>2492</v>
      </c>
      <c r="U10" s="247"/>
      <c r="V10" s="572"/>
    </row>
    <row r="11" spans="2:22" x14ac:dyDescent="0.25">
      <c r="B11" s="226" t="s">
        <v>481</v>
      </c>
      <c r="C11" s="242">
        <f>SUM(C12:C15)</f>
        <v>32964856</v>
      </c>
      <c r="D11" s="304">
        <f>C11/C30</f>
        <v>0.58074263537041981</v>
      </c>
      <c r="E11" s="226" t="s">
        <v>1677</v>
      </c>
      <c r="F11" s="242">
        <f>SUM(F12:F17)</f>
        <v>4478310</v>
      </c>
      <c r="G11" s="271">
        <f t="shared" ref="G11:G17" si="3">F11/$F$30</f>
        <v>7.8894490995651559E-2</v>
      </c>
      <c r="I11" s="187" t="s">
        <v>1006</v>
      </c>
      <c r="J11" s="336" t="s">
        <v>2080</v>
      </c>
      <c r="K11" s="333">
        <v>2359404</v>
      </c>
      <c r="L11" s="333">
        <v>0</v>
      </c>
      <c r="M11" s="333">
        <v>0</v>
      </c>
      <c r="N11" s="333">
        <v>0</v>
      </c>
      <c r="O11" s="343">
        <f t="shared" si="0"/>
        <v>0</v>
      </c>
      <c r="P11" s="333">
        <f t="shared" si="1"/>
        <v>2359404</v>
      </c>
      <c r="Q11" s="403"/>
      <c r="R11" s="347">
        <v>42110</v>
      </c>
      <c r="S11" s="347"/>
      <c r="T11" s="247" t="s">
        <v>2492</v>
      </c>
      <c r="U11" s="247"/>
      <c r="V11" s="622"/>
    </row>
    <row r="12" spans="2:22" x14ac:dyDescent="0.25">
      <c r="B12" s="231" t="s">
        <v>1381</v>
      </c>
      <c r="C12" s="232">
        <f>SUMIF(I4:I519,"S",$P$4:$P$519)</f>
        <v>0</v>
      </c>
      <c r="D12" s="424">
        <f>C12/C30</f>
        <v>0</v>
      </c>
      <c r="E12" s="339" t="s">
        <v>1194</v>
      </c>
      <c r="F12" s="340">
        <f>SUMIF(I4:I519,"J",$O$4:$O$519)</f>
        <v>-10458</v>
      </c>
      <c r="G12" s="272">
        <f t="shared" si="3"/>
        <v>-1.8423882822594329E-4</v>
      </c>
      <c r="I12" s="187" t="s">
        <v>1004</v>
      </c>
      <c r="J12" s="336" t="s">
        <v>2420</v>
      </c>
      <c r="K12" s="333">
        <v>2883810</v>
      </c>
      <c r="L12" s="333">
        <v>0</v>
      </c>
      <c r="M12" s="333">
        <v>0</v>
      </c>
      <c r="N12" s="333">
        <v>0</v>
      </c>
      <c r="O12" s="343">
        <f t="shared" si="0"/>
        <v>0</v>
      </c>
      <c r="P12" s="333">
        <f t="shared" si="1"/>
        <v>2883810</v>
      </c>
      <c r="Q12" s="403"/>
      <c r="R12" s="347">
        <v>42297</v>
      </c>
      <c r="S12" s="347"/>
      <c r="T12" s="247" t="s">
        <v>2492</v>
      </c>
      <c r="U12" s="247"/>
      <c r="V12" s="622"/>
    </row>
    <row r="13" spans="2:22" ht="15" customHeight="1" x14ac:dyDescent="0.25">
      <c r="B13" s="231" t="s">
        <v>481</v>
      </c>
      <c r="C13" s="232">
        <f>SUMIF(I4:I519,"J",$P$4:$P$519)</f>
        <v>19838966</v>
      </c>
      <c r="D13" s="424">
        <f>C13/C30</f>
        <v>0.34950352575070115</v>
      </c>
      <c r="E13" s="339" t="s">
        <v>1382</v>
      </c>
      <c r="F13" s="340">
        <f>SUMIF(I4:I519,"S",$O$4:$O$519)</f>
        <v>0</v>
      </c>
      <c r="G13" s="272">
        <f t="shared" si="3"/>
        <v>0</v>
      </c>
      <c r="I13" s="187" t="s">
        <v>1004</v>
      </c>
      <c r="J13" s="336" t="s">
        <v>2426</v>
      </c>
      <c r="K13" s="333">
        <v>2376230</v>
      </c>
      <c r="L13" s="333">
        <v>0</v>
      </c>
      <c r="M13" s="333">
        <v>0</v>
      </c>
      <c r="N13" s="333">
        <v>0</v>
      </c>
      <c r="O13" s="343">
        <f t="shared" si="0"/>
        <v>0</v>
      </c>
      <c r="P13" s="333">
        <f t="shared" si="1"/>
        <v>2376230</v>
      </c>
      <c r="Q13" s="403"/>
      <c r="R13" s="347">
        <v>42306</v>
      </c>
      <c r="S13" s="347"/>
      <c r="T13" s="247" t="s">
        <v>2492</v>
      </c>
      <c r="U13" s="247"/>
      <c r="V13" s="247"/>
    </row>
    <row r="14" spans="2:22" x14ac:dyDescent="0.25">
      <c r="B14" s="231" t="s">
        <v>819</v>
      </c>
      <c r="C14" s="232">
        <f>SUMIF(I4:I519,"E",$P$4:$P$519)</f>
        <v>12929460</v>
      </c>
      <c r="D14" s="424">
        <f>C14/C30</f>
        <v>0.22777859773804041</v>
      </c>
      <c r="E14" s="339" t="s">
        <v>1195</v>
      </c>
      <c r="F14" s="340">
        <f>SUMIF(I4:I519,"C",$O$4:$O$519)</f>
        <v>1016462</v>
      </c>
      <c r="G14" s="272">
        <f t="shared" si="3"/>
        <v>1.7907034597073893E-2</v>
      </c>
      <c r="I14" s="187" t="s">
        <v>1006</v>
      </c>
      <c r="J14" s="336" t="s">
        <v>2493</v>
      </c>
      <c r="K14" s="333">
        <v>815308</v>
      </c>
      <c r="L14" s="333">
        <v>0</v>
      </c>
      <c r="M14" s="333">
        <v>0</v>
      </c>
      <c r="N14" s="333">
        <v>0</v>
      </c>
      <c r="O14" s="343">
        <f t="shared" si="0"/>
        <v>0</v>
      </c>
      <c r="P14" s="333">
        <f t="shared" si="1"/>
        <v>815308</v>
      </c>
      <c r="Q14" s="403"/>
      <c r="R14" s="347">
        <v>42322</v>
      </c>
      <c r="S14" s="347"/>
      <c r="T14" s="247" t="s">
        <v>2492</v>
      </c>
      <c r="U14" s="247"/>
      <c r="V14" s="247"/>
    </row>
    <row r="15" spans="2:22" x14ac:dyDescent="0.25">
      <c r="B15" s="231" t="s">
        <v>997</v>
      </c>
      <c r="C15" s="232">
        <f>SUMIF(I4:I519,"M",$P$4:$P$519)</f>
        <v>196430</v>
      </c>
      <c r="D15" s="424">
        <f>C15/C30</f>
        <v>3.4605118816782199E-3</v>
      </c>
      <c r="E15" s="339" t="s">
        <v>1196</v>
      </c>
      <c r="F15" s="340">
        <f>SUMIF(I4:I519,"E",$O$4:$O$519)</f>
        <v>1465074</v>
      </c>
      <c r="G15" s="272">
        <f t="shared" si="3"/>
        <v>2.5810242591728403E-2</v>
      </c>
      <c r="I15" s="334" t="s">
        <v>1006</v>
      </c>
      <c r="J15" s="337" t="s">
        <v>2495</v>
      </c>
      <c r="K15" s="335">
        <v>683616</v>
      </c>
      <c r="L15" s="335">
        <v>0</v>
      </c>
      <c r="M15" s="335">
        <v>532000</v>
      </c>
      <c r="N15" s="335">
        <f>M15-494760</f>
        <v>37240</v>
      </c>
      <c r="O15" s="335">
        <f t="shared" si="0"/>
        <v>-188856</v>
      </c>
      <c r="P15" s="335">
        <f t="shared" si="1"/>
        <v>0</v>
      </c>
      <c r="Q15" s="405">
        <f t="shared" ref="Q15:Q16" si="4">O15/K15</f>
        <v>-0.27626035669147592</v>
      </c>
      <c r="R15" s="348">
        <v>42332</v>
      </c>
      <c r="S15" s="348">
        <v>42476</v>
      </c>
      <c r="T15" s="247" t="s">
        <v>2492</v>
      </c>
      <c r="U15" s="247"/>
      <c r="V15" s="247"/>
    </row>
    <row r="16" spans="2:22" ht="15" customHeight="1" x14ac:dyDescent="0.25">
      <c r="B16" s="235"/>
      <c r="C16" s="236"/>
      <c r="D16" s="304"/>
      <c r="E16" s="339" t="s">
        <v>1197</v>
      </c>
      <c r="F16" s="340">
        <f>SUMIF(I4:I519,"M",$O$4:$O$519)</f>
        <v>416519</v>
      </c>
      <c r="G16" s="272">
        <f t="shared" si="3"/>
        <v>7.3378248703233574E-3</v>
      </c>
      <c r="I16" s="334" t="s">
        <v>1006</v>
      </c>
      <c r="J16" s="337" t="s">
        <v>2500</v>
      </c>
      <c r="K16" s="335">
        <v>1024516</v>
      </c>
      <c r="L16" s="335">
        <v>0</v>
      </c>
      <c r="M16" s="335">
        <v>995000</v>
      </c>
      <c r="N16" s="335">
        <f>M16-925350</f>
        <v>69650</v>
      </c>
      <c r="O16" s="335">
        <f t="shared" si="0"/>
        <v>-99166</v>
      </c>
      <c r="P16" s="335">
        <f t="shared" si="1"/>
        <v>0</v>
      </c>
      <c r="Q16" s="405">
        <f t="shared" si="4"/>
        <v>-9.6793022266123713E-2</v>
      </c>
      <c r="R16" s="348">
        <v>42345</v>
      </c>
      <c r="S16" s="348">
        <v>42522</v>
      </c>
      <c r="T16" s="247" t="s">
        <v>2492</v>
      </c>
      <c r="U16" s="247"/>
      <c r="V16" s="247"/>
    </row>
    <row r="17" spans="2:22" x14ac:dyDescent="0.25">
      <c r="B17" s="226" t="s">
        <v>48</v>
      </c>
      <c r="C17" s="260">
        <f>C18+C19</f>
        <v>8296505</v>
      </c>
      <c r="D17" s="304">
        <f>C17/C30</f>
        <v>0.1461597216764382</v>
      </c>
      <c r="E17" s="341" t="s">
        <v>2416</v>
      </c>
      <c r="F17" s="342">
        <f>C23-F23-C9</f>
        <v>1590713</v>
      </c>
      <c r="G17" s="272">
        <f t="shared" si="3"/>
        <v>2.8023627764751858E-2</v>
      </c>
      <c r="I17" s="334" t="s">
        <v>1004</v>
      </c>
      <c r="J17" s="337" t="s">
        <v>2501</v>
      </c>
      <c r="K17" s="335">
        <v>2187036</v>
      </c>
      <c r="L17" s="335">
        <v>0</v>
      </c>
      <c r="M17" s="335">
        <v>3927000</v>
      </c>
      <c r="N17" s="335">
        <f>M17-3652110</f>
        <v>274890</v>
      </c>
      <c r="O17" s="335">
        <f t="shared" si="0"/>
        <v>1465074</v>
      </c>
      <c r="P17" s="335">
        <f t="shared" si="1"/>
        <v>0</v>
      </c>
      <c r="Q17" s="405"/>
      <c r="R17" s="348">
        <v>42319</v>
      </c>
      <c r="S17" s="348">
        <v>42517</v>
      </c>
      <c r="T17" s="247" t="s">
        <v>2492</v>
      </c>
      <c r="U17" s="247"/>
      <c r="V17" s="247"/>
    </row>
    <row r="18" spans="2:22" ht="15" customHeight="1" x14ac:dyDescent="0.25">
      <c r="B18" s="231" t="s">
        <v>48</v>
      </c>
      <c r="C18" s="232">
        <f>SUM(M4:M519)</f>
        <v>8946363</v>
      </c>
      <c r="D18" s="424">
        <f>C18/C30</f>
        <v>0.15760828518712214</v>
      </c>
      <c r="E18" s="228"/>
      <c r="F18" s="227"/>
      <c r="G18" s="270"/>
      <c r="I18" s="187" t="s">
        <v>1006</v>
      </c>
      <c r="J18" s="336" t="s">
        <v>2507</v>
      </c>
      <c r="K18" s="333">
        <v>718610</v>
      </c>
      <c r="L18" s="333">
        <v>0</v>
      </c>
      <c r="M18" s="333">
        <v>0</v>
      </c>
      <c r="N18" s="333">
        <v>0</v>
      </c>
      <c r="O18" s="343">
        <f t="shared" si="0"/>
        <v>0</v>
      </c>
      <c r="P18" s="333">
        <f t="shared" si="1"/>
        <v>718610</v>
      </c>
      <c r="Q18" s="403"/>
      <c r="R18" s="347">
        <v>42386</v>
      </c>
      <c r="S18" s="347"/>
      <c r="T18" s="247" t="s">
        <v>2492</v>
      </c>
      <c r="U18" s="247"/>
      <c r="V18" s="247"/>
    </row>
    <row r="19" spans="2:22" ht="15" customHeight="1" x14ac:dyDescent="0.25">
      <c r="B19" s="245" t="s">
        <v>5</v>
      </c>
      <c r="C19" s="248">
        <f>SUM(N4:N519)*-1</f>
        <v>-649858</v>
      </c>
      <c r="D19" s="424">
        <f>C19/C30</f>
        <v>-1.1448563510683931E-2</v>
      </c>
      <c r="E19" s="226" t="s">
        <v>1034</v>
      </c>
      <c r="F19" s="260">
        <f>F20+F21</f>
        <v>6313050</v>
      </c>
      <c r="G19" s="271">
        <f>F19/$F$30</f>
        <v>0.11121714807150423</v>
      </c>
      <c r="I19" s="334" t="s">
        <v>1005</v>
      </c>
      <c r="J19" s="337" t="s">
        <v>2508</v>
      </c>
      <c r="K19" s="335">
        <v>101020</v>
      </c>
      <c r="L19" s="335">
        <v>0</v>
      </c>
      <c r="M19" s="335">
        <v>203000</v>
      </c>
      <c r="N19" s="335">
        <f>M19-180914</f>
        <v>22086</v>
      </c>
      <c r="O19" s="335">
        <f t="shared" si="0"/>
        <v>79894</v>
      </c>
      <c r="P19" s="335">
        <f t="shared" si="1"/>
        <v>0</v>
      </c>
      <c r="Q19" s="405">
        <f t="shared" ref="Q19:Q24" si="5">O19/K19</f>
        <v>0.79087309443674525</v>
      </c>
      <c r="R19" s="348">
        <v>42387</v>
      </c>
      <c r="S19" s="348">
        <v>42421</v>
      </c>
      <c r="T19" s="247" t="s">
        <v>2492</v>
      </c>
      <c r="U19" s="247"/>
      <c r="V19" s="247"/>
    </row>
    <row r="20" spans="2:22" ht="15" customHeight="1" x14ac:dyDescent="0.25">
      <c r="B20" s="235"/>
      <c r="C20" s="236"/>
      <c r="D20" s="424"/>
      <c r="E20" s="307" t="s">
        <v>50</v>
      </c>
      <c r="F20" s="427">
        <f>EconomiaT49!C19</f>
        <v>6383082</v>
      </c>
      <c r="G20" s="272">
        <f>F20/$F$30</f>
        <v>0.11245090343757033</v>
      </c>
      <c r="I20" s="334" t="s">
        <v>1005</v>
      </c>
      <c r="J20" s="337" t="s">
        <v>2509</v>
      </c>
      <c r="K20" s="335">
        <v>65924</v>
      </c>
      <c r="L20" s="335">
        <v>0</v>
      </c>
      <c r="M20" s="335">
        <v>149995</v>
      </c>
      <c r="N20" s="335">
        <f>M20-133436</f>
        <v>16559</v>
      </c>
      <c r="O20" s="335">
        <f t="shared" si="0"/>
        <v>67512</v>
      </c>
      <c r="P20" s="335">
        <f t="shared" si="1"/>
        <v>0</v>
      </c>
      <c r="Q20" s="405">
        <f t="shared" si="5"/>
        <v>1.0240883441538742</v>
      </c>
      <c r="R20" s="348">
        <v>42388</v>
      </c>
      <c r="S20" s="348">
        <v>42421</v>
      </c>
      <c r="T20" s="247" t="s">
        <v>2492</v>
      </c>
      <c r="V20" s="247"/>
    </row>
    <row r="21" spans="2:22" ht="15" customHeight="1" x14ac:dyDescent="0.25">
      <c r="B21" s="226" t="s">
        <v>1036</v>
      </c>
      <c r="C21" s="242">
        <f>EconomiaT49!C5</f>
        <v>2136995.5889290832</v>
      </c>
      <c r="D21" s="304">
        <f>C21/C30</f>
        <v>3.7647501026233453E-2</v>
      </c>
      <c r="E21" s="245" t="s">
        <v>1140</v>
      </c>
      <c r="F21" s="238">
        <f>SUM(L4:L519)*-1</f>
        <v>-70032</v>
      </c>
      <c r="G21" s="272">
        <f>F21/$F$30</f>
        <v>-1.2337553660660987E-3</v>
      </c>
      <c r="I21" s="334" t="s">
        <v>1005</v>
      </c>
      <c r="J21" s="337" t="s">
        <v>2511</v>
      </c>
      <c r="K21" s="335">
        <v>94732</v>
      </c>
      <c r="L21" s="335">
        <v>0</v>
      </c>
      <c r="M21" s="335">
        <v>149995</v>
      </c>
      <c r="N21" s="335">
        <f>M21-132791</f>
        <v>17204</v>
      </c>
      <c r="O21" s="335">
        <f t="shared" si="0"/>
        <v>38059</v>
      </c>
      <c r="P21" s="335">
        <f t="shared" si="1"/>
        <v>0</v>
      </c>
      <c r="Q21" s="405">
        <f t="shared" si="5"/>
        <v>0.4017544230038424</v>
      </c>
      <c r="R21" s="348">
        <v>42394</v>
      </c>
      <c r="S21" s="348">
        <v>42421</v>
      </c>
      <c r="T21" s="694" t="s">
        <v>2492</v>
      </c>
      <c r="V21" s="247"/>
    </row>
    <row r="22" spans="2:22" ht="15" customHeight="1" x14ac:dyDescent="0.25">
      <c r="B22" s="226"/>
      <c r="C22" s="242"/>
      <c r="D22" s="304"/>
      <c r="E22" s="235"/>
      <c r="F22" s="636"/>
      <c r="G22" s="637"/>
      <c r="I22" s="334" t="s">
        <v>1005</v>
      </c>
      <c r="J22" s="337" t="s">
        <v>2512</v>
      </c>
      <c r="K22" s="335">
        <v>100092</v>
      </c>
      <c r="L22" s="335">
        <v>0</v>
      </c>
      <c r="M22" s="335">
        <v>219413</v>
      </c>
      <c r="N22" s="335">
        <f>M22-195541</f>
        <v>23872</v>
      </c>
      <c r="O22" s="335">
        <f t="shared" si="0"/>
        <v>95449</v>
      </c>
      <c r="P22" s="335">
        <f t="shared" si="1"/>
        <v>0</v>
      </c>
      <c r="Q22" s="405">
        <f t="shared" si="5"/>
        <v>0.95361267633776925</v>
      </c>
      <c r="R22" s="348">
        <v>42394</v>
      </c>
      <c r="S22" s="348">
        <v>42428</v>
      </c>
      <c r="T22" s="247" t="s">
        <v>2492</v>
      </c>
      <c r="V22" s="247"/>
    </row>
    <row r="23" spans="2:22" x14ac:dyDescent="0.25">
      <c r="B23" s="226" t="s">
        <v>1328</v>
      </c>
      <c r="C23" s="242">
        <f>SUM(C24:C28)</f>
        <v>8793527</v>
      </c>
      <c r="D23" s="304">
        <f>C23/C30</f>
        <v>0.15491576981804323</v>
      </c>
      <c r="E23" s="226" t="s">
        <v>1601</v>
      </c>
      <c r="F23" s="242">
        <f>SUM(F24:F29)</f>
        <v>7202814</v>
      </c>
      <c r="G23" s="271">
        <f t="shared" ref="G23:G29" si="6">F23/$F$30</f>
        <v>0.12689214106802635</v>
      </c>
      <c r="I23" s="334" t="s">
        <v>1005</v>
      </c>
      <c r="J23" s="337" t="s">
        <v>2513</v>
      </c>
      <c r="K23" s="335">
        <v>83304</v>
      </c>
      <c r="L23" s="335">
        <v>0</v>
      </c>
      <c r="M23" s="335">
        <v>214000</v>
      </c>
      <c r="N23" s="335">
        <f>M23-189240</f>
        <v>24760</v>
      </c>
      <c r="O23" s="335">
        <f t="shared" si="0"/>
        <v>105936</v>
      </c>
      <c r="P23" s="335">
        <f t="shared" si="1"/>
        <v>0</v>
      </c>
      <c r="Q23" s="405">
        <f t="shared" si="5"/>
        <v>1.271679631230193</v>
      </c>
      <c r="R23" s="348">
        <v>42395</v>
      </c>
      <c r="S23" s="348">
        <v>42421</v>
      </c>
      <c r="T23" s="247" t="s">
        <v>2492</v>
      </c>
      <c r="U23" s="247"/>
      <c r="V23" s="247"/>
    </row>
    <row r="24" spans="2:22" x14ac:dyDescent="0.25">
      <c r="B24" s="233" t="s">
        <v>42</v>
      </c>
      <c r="C24" s="234">
        <f>EconomiaT49!C11</f>
        <v>70801</v>
      </c>
      <c r="D24" s="424">
        <f>C24/C30</f>
        <v>1.2473028648103631E-3</v>
      </c>
      <c r="E24" s="307" t="s">
        <v>882</v>
      </c>
      <c r="F24" s="428">
        <f>EconomiaT49!C14</f>
        <v>5468870</v>
      </c>
      <c r="G24" s="272">
        <f t="shared" si="6"/>
        <v>9.6345209458788911E-2</v>
      </c>
      <c r="I24" s="334" t="s">
        <v>1005</v>
      </c>
      <c r="J24" s="337" t="s">
        <v>2514</v>
      </c>
      <c r="K24" s="335">
        <v>90732</v>
      </c>
      <c r="L24" s="335">
        <v>0</v>
      </c>
      <c r="M24" s="335">
        <v>136000</v>
      </c>
      <c r="N24" s="335">
        <f>M24-120401</f>
        <v>15599</v>
      </c>
      <c r="O24" s="335">
        <f t="shared" si="0"/>
        <v>29669</v>
      </c>
      <c r="P24" s="335">
        <f t="shared" si="1"/>
        <v>0</v>
      </c>
      <c r="Q24" s="405">
        <f t="shared" si="5"/>
        <v>0.32699598818498438</v>
      </c>
      <c r="R24" s="348">
        <v>42395</v>
      </c>
      <c r="S24" s="348">
        <v>42422</v>
      </c>
      <c r="T24" s="247" t="s">
        <v>2492</v>
      </c>
      <c r="V24" s="247"/>
    </row>
    <row r="25" spans="2:22" x14ac:dyDescent="0.25">
      <c r="B25" s="233" t="s">
        <v>51</v>
      </c>
      <c r="C25" s="234">
        <f>EconomiaT49!C12</f>
        <v>665000</v>
      </c>
      <c r="D25" s="424">
        <f>C25/C30</f>
        <v>1.1715320477096249E-2</v>
      </c>
      <c r="E25" s="307" t="s">
        <v>29</v>
      </c>
      <c r="F25" s="428">
        <f>EconomiaT49!C15</f>
        <v>665584</v>
      </c>
      <c r="G25" s="272">
        <f t="shared" si="6"/>
        <v>1.1725608744113237E-2</v>
      </c>
      <c r="I25" s="187" t="s">
        <v>1006</v>
      </c>
      <c r="J25" s="336" t="s">
        <v>2518</v>
      </c>
      <c r="K25" s="333">
        <v>1972556</v>
      </c>
      <c r="L25" s="333">
        <v>0</v>
      </c>
      <c r="M25" s="333">
        <v>0</v>
      </c>
      <c r="N25" s="333">
        <v>0</v>
      </c>
      <c r="O25" s="343">
        <f t="shared" si="0"/>
        <v>0</v>
      </c>
      <c r="P25" s="333">
        <f t="shared" si="1"/>
        <v>1972556</v>
      </c>
      <c r="Q25" s="403"/>
      <c r="R25" s="347">
        <v>42411</v>
      </c>
      <c r="S25" s="347"/>
      <c r="T25" s="247" t="s">
        <v>2492</v>
      </c>
      <c r="U25" s="509"/>
      <c r="V25" s="247"/>
    </row>
    <row r="26" spans="2:22" x14ac:dyDescent="0.25">
      <c r="B26" s="233" t="s">
        <v>0</v>
      </c>
      <c r="C26" s="234">
        <f>EconomiaT49!C6</f>
        <v>5427517</v>
      </c>
      <c r="D26" s="424">
        <f>C26/C30</f>
        <v>9.5616693308102255E-2</v>
      </c>
      <c r="E26" s="307" t="s">
        <v>6</v>
      </c>
      <c r="F26" s="428">
        <f>EconomiaT49!C17</f>
        <v>783360</v>
      </c>
      <c r="G26" s="272">
        <f t="shared" si="6"/>
        <v>1.380047126401558E-2</v>
      </c>
      <c r="I26" s="187" t="s">
        <v>1004</v>
      </c>
      <c r="J26" s="336" t="s">
        <v>2519</v>
      </c>
      <c r="K26" s="333">
        <v>2424968</v>
      </c>
      <c r="L26" s="333">
        <v>0</v>
      </c>
      <c r="M26" s="333">
        <v>0</v>
      </c>
      <c r="N26" s="333">
        <v>0</v>
      </c>
      <c r="O26" s="343">
        <f t="shared" si="0"/>
        <v>0</v>
      </c>
      <c r="P26" s="333">
        <f t="shared" si="1"/>
        <v>2424968</v>
      </c>
      <c r="Q26" s="403"/>
      <c r="R26" s="347">
        <v>42411</v>
      </c>
      <c r="S26" s="347"/>
      <c r="T26" s="247" t="s">
        <v>2492</v>
      </c>
      <c r="U26" s="509"/>
      <c r="V26" s="247"/>
    </row>
    <row r="27" spans="2:22" ht="15" customHeight="1" x14ac:dyDescent="0.25">
      <c r="B27" s="233" t="s">
        <v>2</v>
      </c>
      <c r="C27" s="234">
        <f>EconomiaT49!C7</f>
        <v>2036560</v>
      </c>
      <c r="D27" s="424">
        <f>C27/C30</f>
        <v>3.5878124918549074E-2</v>
      </c>
      <c r="E27" s="307" t="s">
        <v>8</v>
      </c>
      <c r="F27" s="428">
        <f>EconomiaT49!C18</f>
        <v>240000</v>
      </c>
      <c r="G27" s="272">
        <f t="shared" si="6"/>
        <v>4.2280855588283026E-3</v>
      </c>
      <c r="I27" s="334" t="s">
        <v>1003</v>
      </c>
      <c r="J27" s="337" t="s">
        <v>2524</v>
      </c>
      <c r="K27" s="335">
        <v>0</v>
      </c>
      <c r="L27" s="335">
        <v>0</v>
      </c>
      <c r="M27" s="335">
        <v>397000</v>
      </c>
      <c r="N27" s="335">
        <f>M27-377150</f>
        <v>19850</v>
      </c>
      <c r="O27" s="335">
        <f t="shared" ref="O27" si="7">IF(M27=0,0,M27-K27)-N27</f>
        <v>377150</v>
      </c>
      <c r="P27" s="335">
        <f t="shared" ref="P27" si="8">IF(M27=0,K27,0)</f>
        <v>0</v>
      </c>
      <c r="Q27" s="405" t="s">
        <v>1327</v>
      </c>
      <c r="R27" s="348">
        <v>42411</v>
      </c>
      <c r="S27" s="348">
        <v>42414</v>
      </c>
      <c r="T27" s="508">
        <f>(S27-R27)/112</f>
        <v>2.6785714285714284E-2</v>
      </c>
      <c r="U27" s="509"/>
    </row>
    <row r="28" spans="2:22" ht="15" customHeight="1" x14ac:dyDescent="0.25">
      <c r="B28" s="233" t="s">
        <v>5</v>
      </c>
      <c r="C28" s="234">
        <f>EconomiaT49!C10</f>
        <v>593649</v>
      </c>
      <c r="D28" s="424">
        <f>C28/C30</f>
        <v>1.0458328249485279E-2</v>
      </c>
      <c r="E28" s="307" t="s">
        <v>818</v>
      </c>
      <c r="F28" s="428">
        <f>EconomiaT49!C21</f>
        <v>45000</v>
      </c>
      <c r="G28" s="272">
        <f t="shared" si="6"/>
        <v>7.9276604228030673E-4</v>
      </c>
      <c r="I28" s="334" t="s">
        <v>1003</v>
      </c>
      <c r="J28" s="337" t="s">
        <v>2525</v>
      </c>
      <c r="K28" s="335">
        <v>0</v>
      </c>
      <c r="L28" s="335">
        <v>0</v>
      </c>
      <c r="M28" s="335">
        <v>21000</v>
      </c>
      <c r="N28" s="335">
        <f>M28-19950</f>
        <v>1050</v>
      </c>
      <c r="O28" s="335">
        <f t="shared" ref="O28" si="9">IF(M28=0,0,M28-K28)-N28</f>
        <v>19950</v>
      </c>
      <c r="P28" s="335">
        <f t="shared" ref="P28" si="10">IF(M28=0,K28,0)</f>
        <v>0</v>
      </c>
      <c r="Q28" s="405" t="s">
        <v>1327</v>
      </c>
      <c r="R28" s="348">
        <v>42419</v>
      </c>
      <c r="S28" s="348">
        <v>42422</v>
      </c>
      <c r="T28" s="508">
        <f>(S28-R28)/112</f>
        <v>2.6785714285714284E-2</v>
      </c>
      <c r="U28" s="509"/>
    </row>
    <row r="29" spans="2:22" ht="15" customHeight="1" x14ac:dyDescent="0.25">
      <c r="B29" s="226"/>
      <c r="C29" s="242"/>
      <c r="D29" s="304"/>
      <c r="E29" s="431" t="s">
        <v>10</v>
      </c>
      <c r="F29" s="432">
        <f>EconomiaT49!C22</f>
        <v>0</v>
      </c>
      <c r="G29" s="430">
        <f t="shared" si="6"/>
        <v>0</v>
      </c>
      <c r="I29" s="334" t="s">
        <v>1003</v>
      </c>
      <c r="J29" s="337" t="s">
        <v>2528</v>
      </c>
      <c r="K29" s="335">
        <v>0</v>
      </c>
      <c r="L29" s="335">
        <v>0</v>
      </c>
      <c r="M29" s="335">
        <v>2000</v>
      </c>
      <c r="N29" s="335">
        <v>100</v>
      </c>
      <c r="O29" s="335">
        <f t="shared" ref="O29" si="11">IF(M29=0,0,M29-K29)-N29</f>
        <v>1900</v>
      </c>
      <c r="P29" s="335">
        <f t="shared" ref="P29" si="12">IF(M29=0,K29,0)</f>
        <v>0</v>
      </c>
      <c r="Q29" s="405" t="s">
        <v>1327</v>
      </c>
      <c r="R29" s="348">
        <v>42430</v>
      </c>
      <c r="S29" s="348">
        <v>42433</v>
      </c>
      <c r="T29" s="508">
        <f>(S29-R29)/112</f>
        <v>2.6785714285714284E-2</v>
      </c>
      <c r="U29" s="509"/>
    </row>
    <row r="30" spans="2:22" ht="18.75" x14ac:dyDescent="0.3">
      <c r="B30" s="366" t="s">
        <v>291</v>
      </c>
      <c r="C30" s="367">
        <f>C23+C21+C17+C11+C6</f>
        <v>56763278.588929087</v>
      </c>
      <c r="D30" s="639">
        <f>C30/C30</f>
        <v>1</v>
      </c>
      <c r="E30" s="366" t="s">
        <v>291</v>
      </c>
      <c r="F30" s="367">
        <f>F23+F19+F11+F6</f>
        <v>56763278.949943811</v>
      </c>
      <c r="G30" s="43">
        <f>F30/$F$30</f>
        <v>1</v>
      </c>
      <c r="I30" s="334" t="s">
        <v>1003</v>
      </c>
      <c r="J30" s="337" t="s">
        <v>2531</v>
      </c>
      <c r="K30" s="335">
        <v>0</v>
      </c>
      <c r="L30" s="335">
        <v>0</v>
      </c>
      <c r="M30" s="335">
        <v>201960</v>
      </c>
      <c r="N30" s="335">
        <f>M30-191862</f>
        <v>10098</v>
      </c>
      <c r="O30" s="335">
        <f t="shared" ref="O30:O31" si="13">IF(M30=0,0,M30-K30)-N30</f>
        <v>191862</v>
      </c>
      <c r="P30" s="335">
        <f t="shared" ref="P30:P31" si="14">IF(M30=0,K30,0)</f>
        <v>0</v>
      </c>
      <c r="Q30" s="405" t="s">
        <v>1327</v>
      </c>
      <c r="R30" s="348">
        <v>42447</v>
      </c>
      <c r="S30" s="348">
        <v>42450</v>
      </c>
      <c r="T30" s="508">
        <f>(S30-R30)/112</f>
        <v>2.6785714285714284E-2</v>
      </c>
      <c r="U30" s="509"/>
      <c r="V30" s="622"/>
    </row>
    <row r="31" spans="2:22" ht="15" customHeight="1" x14ac:dyDescent="0.25">
      <c r="D31" s="280"/>
      <c r="E31" s="638" t="s">
        <v>2418</v>
      </c>
      <c r="F31" s="417">
        <f>F30-C30</f>
        <v>0.361014723777771</v>
      </c>
      <c r="I31" s="187" t="s">
        <v>1006</v>
      </c>
      <c r="J31" s="336" t="s">
        <v>2532</v>
      </c>
      <c r="K31" s="333">
        <v>2700000</v>
      </c>
      <c r="L31" s="333">
        <v>34164</v>
      </c>
      <c r="M31" s="333">
        <v>0</v>
      </c>
      <c r="N31" s="333">
        <v>0</v>
      </c>
      <c r="O31" s="343">
        <f t="shared" si="13"/>
        <v>0</v>
      </c>
      <c r="P31" s="333">
        <f t="shared" si="14"/>
        <v>2700000</v>
      </c>
      <c r="Q31" s="403"/>
      <c r="R31" s="347">
        <v>42455</v>
      </c>
      <c r="S31" s="347"/>
      <c r="T31" s="247" t="s">
        <v>2492</v>
      </c>
      <c r="U31" s="509"/>
    </row>
    <row r="32" spans="2:22" x14ac:dyDescent="0.25">
      <c r="H32" s="225"/>
      <c r="I32" s="334" t="s">
        <v>1003</v>
      </c>
      <c r="J32" s="337" t="s">
        <v>2534</v>
      </c>
      <c r="K32" s="335">
        <v>0</v>
      </c>
      <c r="L32" s="335">
        <v>0</v>
      </c>
      <c r="M32" s="335">
        <v>17000</v>
      </c>
      <c r="N32" s="335">
        <f>M32-16150</f>
        <v>850</v>
      </c>
      <c r="O32" s="335">
        <f t="shared" ref="O32:O33" si="15">IF(M32=0,0,M32-K32)-N32</f>
        <v>16150</v>
      </c>
      <c r="P32" s="335">
        <f t="shared" ref="P32:P33" si="16">IF(M32=0,K32,0)</f>
        <v>0</v>
      </c>
      <c r="Q32" s="405" t="s">
        <v>1327</v>
      </c>
      <c r="R32" s="348">
        <v>42470</v>
      </c>
      <c r="S32" s="348">
        <f>R32+3</f>
        <v>42473</v>
      </c>
      <c r="T32" s="508">
        <f>(S32-R32)/112</f>
        <v>2.6785714285714284E-2</v>
      </c>
      <c r="U32" s="509"/>
      <c r="V32" s="622"/>
    </row>
    <row r="33" spans="2:22" ht="15" customHeight="1" x14ac:dyDescent="0.25">
      <c r="B33" s="641" t="s">
        <v>2417</v>
      </c>
      <c r="C33" s="640">
        <f>EconomiaT49!C24</f>
        <v>5651581.5889290832</v>
      </c>
      <c r="E33" s="2" t="s">
        <v>2419</v>
      </c>
      <c r="F33" s="212">
        <f>C23-F23</f>
        <v>1590713</v>
      </c>
      <c r="G33" s="212"/>
      <c r="I33" s="187" t="s">
        <v>1006</v>
      </c>
      <c r="J33" s="336" t="s">
        <v>2535</v>
      </c>
      <c r="K33" s="333">
        <v>1600000</v>
      </c>
      <c r="L33" s="333">
        <v>18120</v>
      </c>
      <c r="M33" s="333">
        <v>0</v>
      </c>
      <c r="N33" s="333">
        <v>0</v>
      </c>
      <c r="O33" s="343">
        <f t="shared" si="15"/>
        <v>0</v>
      </c>
      <c r="P33" s="333">
        <f t="shared" si="16"/>
        <v>1600000</v>
      </c>
      <c r="Q33" s="403"/>
      <c r="R33" s="347">
        <v>42480</v>
      </c>
      <c r="S33" s="347"/>
      <c r="T33" s="247" t="s">
        <v>2492</v>
      </c>
      <c r="U33" s="509"/>
    </row>
    <row r="34" spans="2:22" x14ac:dyDescent="0.25">
      <c r="C34" s="212">
        <f>C33-C21</f>
        <v>3514586</v>
      </c>
      <c r="I34" s="187" t="s">
        <v>1006</v>
      </c>
      <c r="J34" s="336" t="s">
        <v>2536</v>
      </c>
      <c r="K34" s="333">
        <v>1602420</v>
      </c>
      <c r="L34" s="333">
        <v>13164</v>
      </c>
      <c r="M34" s="333">
        <v>0</v>
      </c>
      <c r="N34" s="333">
        <v>0</v>
      </c>
      <c r="O34" s="343">
        <f t="shared" ref="O34:O35" si="17">IF(M34=0,0,M34-K34)-N34</f>
        <v>0</v>
      </c>
      <c r="P34" s="333">
        <f t="shared" ref="P34:P35" si="18">IF(M34=0,K34,0)</f>
        <v>1602420</v>
      </c>
      <c r="Q34" s="403"/>
      <c r="R34" s="347">
        <v>42480</v>
      </c>
      <c r="S34" s="347"/>
      <c r="T34" s="247" t="s">
        <v>2492</v>
      </c>
      <c r="U34" s="509"/>
      <c r="V34" s="622"/>
    </row>
    <row r="35" spans="2:22" x14ac:dyDescent="0.25">
      <c r="I35" s="334" t="s">
        <v>1003</v>
      </c>
      <c r="J35" s="337" t="s">
        <v>2537</v>
      </c>
      <c r="K35" s="335">
        <v>0</v>
      </c>
      <c r="L35" s="335">
        <v>0</v>
      </c>
      <c r="M35" s="335">
        <v>431000</v>
      </c>
      <c r="N35" s="335">
        <f>M35-409450</f>
        <v>21550</v>
      </c>
      <c r="O35" s="335">
        <f t="shared" si="17"/>
        <v>409450</v>
      </c>
      <c r="P35" s="335">
        <f t="shared" si="18"/>
        <v>0</v>
      </c>
      <c r="Q35" s="405" t="s">
        <v>1327</v>
      </c>
      <c r="R35" s="348">
        <v>42480</v>
      </c>
      <c r="S35" s="348">
        <f>R35+3</f>
        <v>42483</v>
      </c>
      <c r="T35" s="508">
        <f>(S35-R35)/112</f>
        <v>2.6785714285714284E-2</v>
      </c>
      <c r="U35" s="509"/>
      <c r="V35" s="622"/>
    </row>
    <row r="36" spans="2:22" x14ac:dyDescent="0.25">
      <c r="E36" s="225"/>
      <c r="I36" s="187" t="s">
        <v>1006</v>
      </c>
      <c r="J36" s="336" t="s">
        <v>2541</v>
      </c>
      <c r="K36" s="333">
        <v>214200</v>
      </c>
      <c r="L36" s="333">
        <v>1716</v>
      </c>
      <c r="M36" s="333">
        <v>0</v>
      </c>
      <c r="N36" s="333">
        <v>0</v>
      </c>
      <c r="O36" s="343">
        <f t="shared" ref="O36" si="19">IF(M36=0,0,M36-K36)-N36</f>
        <v>0</v>
      </c>
      <c r="P36" s="333">
        <f t="shared" ref="P36" si="20">IF(M36=0,K36,0)</f>
        <v>214200</v>
      </c>
      <c r="Q36" s="403"/>
      <c r="R36" s="347">
        <v>42503</v>
      </c>
      <c r="S36" s="347"/>
      <c r="T36" s="247" t="s">
        <v>2492</v>
      </c>
      <c r="U36" s="633"/>
      <c r="V36" s="622"/>
    </row>
    <row r="37" spans="2:22" ht="14.25" customHeight="1" x14ac:dyDescent="0.25">
      <c r="I37" s="187" t="s">
        <v>1005</v>
      </c>
      <c r="J37" s="336" t="s">
        <v>2544</v>
      </c>
      <c r="K37" s="333">
        <v>71250</v>
      </c>
      <c r="L37" s="333">
        <v>804</v>
      </c>
      <c r="M37" s="333">
        <v>0</v>
      </c>
      <c r="N37" s="333">
        <v>0</v>
      </c>
      <c r="O37" s="343">
        <f t="shared" ref="O37:O39" si="21">IF(M37=0,0,M37-K37)-N37</f>
        <v>0</v>
      </c>
      <c r="P37" s="333">
        <f t="shared" ref="P37:P39" si="22">IF(M37=0,K37,0)</f>
        <v>71250</v>
      </c>
      <c r="Q37" s="403"/>
      <c r="R37" s="347">
        <v>42503</v>
      </c>
      <c r="S37" s="347"/>
      <c r="T37" s="247" t="s">
        <v>2492</v>
      </c>
      <c r="U37" s="633"/>
    </row>
    <row r="38" spans="2:22" s="2" customFormat="1" x14ac:dyDescent="0.25">
      <c r="B38" s="212"/>
      <c r="C38" s="212"/>
      <c r="D38" s="212"/>
      <c r="E38"/>
      <c r="F38" s="225"/>
      <c r="G38" s="225"/>
      <c r="I38" s="187" t="s">
        <v>1005</v>
      </c>
      <c r="J38" s="336" t="s">
        <v>2545</v>
      </c>
      <c r="K38" s="333">
        <v>60180</v>
      </c>
      <c r="L38" s="333">
        <v>1140</v>
      </c>
      <c r="M38" s="333">
        <v>0</v>
      </c>
      <c r="N38" s="333">
        <v>0</v>
      </c>
      <c r="O38" s="343">
        <f t="shared" si="21"/>
        <v>0</v>
      </c>
      <c r="P38" s="333">
        <f t="shared" si="22"/>
        <v>60180</v>
      </c>
      <c r="Q38" s="403"/>
      <c r="R38" s="347">
        <v>42503</v>
      </c>
      <c r="S38" s="347"/>
      <c r="T38" s="247" t="s">
        <v>2492</v>
      </c>
      <c r="U38" s="633"/>
      <c r="V38" s="622"/>
    </row>
    <row r="39" spans="2:22" ht="15" customHeight="1" x14ac:dyDescent="0.25">
      <c r="I39" s="187" t="s">
        <v>1005</v>
      </c>
      <c r="J39" s="336" t="s">
        <v>2546</v>
      </c>
      <c r="K39" s="333">
        <v>65000</v>
      </c>
      <c r="L39" s="333">
        <v>924</v>
      </c>
      <c r="M39" s="333">
        <v>0</v>
      </c>
      <c r="N39" s="333">
        <v>0</v>
      </c>
      <c r="O39" s="343">
        <f t="shared" si="21"/>
        <v>0</v>
      </c>
      <c r="P39" s="333">
        <f t="shared" si="22"/>
        <v>65000</v>
      </c>
      <c r="Q39" s="403"/>
      <c r="R39" s="347">
        <v>42503</v>
      </c>
      <c r="S39" s="347"/>
      <c r="T39" s="247" t="s">
        <v>2492</v>
      </c>
      <c r="U39" s="633"/>
    </row>
    <row r="40" spans="2:22" ht="15" customHeight="1" x14ac:dyDescent="0.25">
      <c r="I40" s="508"/>
      <c r="J40" s="508"/>
      <c r="K40" s="508"/>
      <c r="L40" s="508"/>
      <c r="M40" s="508"/>
      <c r="N40" s="508"/>
      <c r="O40" s="508"/>
      <c r="P40" s="508"/>
      <c r="Q40" s="508"/>
      <c r="R40" s="508"/>
      <c r="S40" s="508"/>
      <c r="T40" s="508"/>
      <c r="U40" s="633"/>
    </row>
    <row r="41" spans="2:22" x14ac:dyDescent="0.25">
      <c r="I41" s="508"/>
      <c r="J41" s="508"/>
      <c r="K41" s="508"/>
      <c r="L41" s="508"/>
      <c r="M41" s="508"/>
      <c r="N41" s="508"/>
      <c r="O41" s="508"/>
      <c r="P41" s="508"/>
      <c r="Q41" s="508"/>
      <c r="R41" s="508"/>
      <c r="S41" s="508"/>
      <c r="T41" s="508"/>
      <c r="U41" s="633"/>
      <c r="V41" s="622"/>
    </row>
    <row r="42" spans="2:22" x14ac:dyDescent="0.25">
      <c r="I42" s="508"/>
      <c r="J42" s="508"/>
      <c r="K42" s="508"/>
      <c r="L42" s="508"/>
      <c r="M42" s="508"/>
      <c r="N42" s="508"/>
      <c r="O42" s="508"/>
      <c r="P42" s="508"/>
      <c r="Q42" s="508"/>
      <c r="R42" s="508"/>
      <c r="S42" s="508"/>
      <c r="T42" s="508"/>
      <c r="U42" s="633"/>
      <c r="V42" s="622"/>
    </row>
    <row r="43" spans="2:22" ht="15" customHeight="1" x14ac:dyDescent="0.25">
      <c r="I43" s="508"/>
      <c r="J43" s="508"/>
      <c r="K43" s="508"/>
      <c r="L43" s="508"/>
      <c r="M43" s="508"/>
      <c r="N43" s="508"/>
      <c r="O43" s="508"/>
      <c r="P43" s="508"/>
      <c r="Q43" s="508"/>
      <c r="R43" s="508"/>
      <c r="S43" s="508"/>
      <c r="T43" s="508"/>
      <c r="U43" s="633"/>
    </row>
    <row r="44" spans="2:22" x14ac:dyDescent="0.25">
      <c r="I44" s="508"/>
      <c r="J44" s="508"/>
      <c r="K44" s="508"/>
      <c r="L44" s="508"/>
      <c r="M44" s="508"/>
      <c r="N44" s="508"/>
      <c r="O44" s="508"/>
      <c r="P44" s="508"/>
      <c r="Q44" s="508"/>
      <c r="R44" s="508"/>
      <c r="S44" s="508"/>
      <c r="T44" s="508"/>
      <c r="U44" s="633"/>
      <c r="V44" s="622"/>
    </row>
    <row r="45" spans="2:22" ht="15" customHeight="1" x14ac:dyDescent="0.25">
      <c r="I45" s="508"/>
      <c r="J45" s="508"/>
      <c r="K45" s="508"/>
      <c r="L45" s="508"/>
      <c r="M45" s="508"/>
      <c r="N45" s="508"/>
      <c r="O45" s="508"/>
      <c r="P45" s="508"/>
      <c r="Q45" s="508"/>
      <c r="R45" s="508"/>
      <c r="S45" s="508"/>
      <c r="T45" s="508"/>
      <c r="U45" s="509"/>
    </row>
    <row r="46" spans="2:22" x14ac:dyDescent="0.25">
      <c r="T46" s="508"/>
      <c r="U46" s="509"/>
      <c r="V46" s="622"/>
    </row>
    <row r="47" spans="2:22" x14ac:dyDescent="0.25">
      <c r="T47" s="508"/>
      <c r="U47" s="509"/>
      <c r="V47" s="622"/>
    </row>
    <row r="48" spans="2:22" x14ac:dyDescent="0.25">
      <c r="T48" s="508"/>
      <c r="U48" s="509"/>
      <c r="V48" s="622"/>
    </row>
    <row r="49" spans="20:22" ht="15" customHeight="1" x14ac:dyDescent="0.25">
      <c r="T49" s="508"/>
    </row>
    <row r="50" spans="20:22" ht="15" customHeight="1" x14ac:dyDescent="0.25">
      <c r="T50" s="508"/>
    </row>
    <row r="51" spans="20:22" x14ac:dyDescent="0.25">
      <c r="T51" s="508"/>
      <c r="V51" s="622"/>
    </row>
    <row r="52" spans="20:22" x14ac:dyDescent="0.25">
      <c r="T52" s="508"/>
      <c r="V52" s="622"/>
    </row>
    <row r="53" spans="20:22" x14ac:dyDescent="0.25">
      <c r="T53" s="508"/>
      <c r="V53" s="622"/>
    </row>
    <row r="54" spans="20:22" x14ac:dyDescent="0.25">
      <c r="T54" s="508"/>
    </row>
    <row r="55" spans="20:22" x14ac:dyDescent="0.25">
      <c r="T55" s="508"/>
      <c r="V55" s="622"/>
    </row>
    <row r="56" spans="20:22" x14ac:dyDescent="0.25">
      <c r="T56" s="508"/>
    </row>
    <row r="57" spans="20:22" x14ac:dyDescent="0.25">
      <c r="T57" s="508"/>
    </row>
    <row r="58" spans="20:22" x14ac:dyDescent="0.25">
      <c r="T58" s="508"/>
    </row>
    <row r="60" spans="20:22" x14ac:dyDescent="0.25">
      <c r="V60" s="622"/>
    </row>
    <row r="62" spans="20:22" x14ac:dyDescent="0.25">
      <c r="V62" s="622"/>
    </row>
    <row r="63" spans="20:22" x14ac:dyDescent="0.25">
      <c r="V63" s="622"/>
    </row>
    <row r="64" spans="20:22" x14ac:dyDescent="0.25">
      <c r="V64" s="622"/>
    </row>
    <row r="65" spans="22:22" x14ac:dyDescent="0.25">
      <c r="V65" s="622"/>
    </row>
    <row r="66" spans="22:22" x14ac:dyDescent="0.25">
      <c r="V66" s="622"/>
    </row>
    <row r="68" spans="22:22" x14ac:dyDescent="0.25">
      <c r="V68" s="622"/>
    </row>
    <row r="74" spans="22:22" x14ac:dyDescent="0.25">
      <c r="V74" s="622"/>
    </row>
  </sheetData>
  <autoFilter ref="I3:S45"/>
  <sortState ref="I4:T41">
    <sortCondition descending="1" ref="M4:M41"/>
  </sortState>
  <mergeCells count="5">
    <mergeCell ref="B2:G2"/>
    <mergeCell ref="I2:S2"/>
    <mergeCell ref="B3:G3"/>
    <mergeCell ref="B4:C4"/>
    <mergeCell ref="E4:F4"/>
  </mergeCells>
  <conditionalFormatting sqref="F12:F17">
    <cfRule type="cellIs" dxfId="695" priority="270" operator="lessThan">
      <formula>0</formula>
    </cfRule>
    <cfRule type="cellIs" dxfId="694" priority="271" operator="greaterThan">
      <formula>0</formula>
    </cfRule>
  </conditionalFormatting>
  <conditionalFormatting sqref="F33">
    <cfRule type="cellIs" dxfId="693" priority="181" operator="lessThan">
      <formula>0</formula>
    </cfRule>
  </conditionalFormatting>
  <conditionalFormatting sqref="C34">
    <cfRule type="cellIs" dxfId="692" priority="163" operator="greaterThan">
      <formula>0</formula>
    </cfRule>
    <cfRule type="cellIs" dxfId="691" priority="180" operator="lessThan">
      <formula>0</formula>
    </cfRule>
  </conditionalFormatting>
  <conditionalFormatting sqref="O4">
    <cfRule type="cellIs" dxfId="690" priority="174" operator="lessThan">
      <formula>0</formula>
    </cfRule>
    <cfRule type="cellIs" dxfId="689" priority="175" operator="greaterThan">
      <formula>0</formula>
    </cfRule>
  </conditionalFormatting>
  <conditionalFormatting sqref="O5">
    <cfRule type="cellIs" dxfId="688" priority="172" operator="lessThan">
      <formula>0</formula>
    </cfRule>
    <cfRule type="cellIs" dxfId="687" priority="173" operator="greaterThan">
      <formula>0</formula>
    </cfRule>
  </conditionalFormatting>
  <conditionalFormatting sqref="O6">
    <cfRule type="cellIs" dxfId="686" priority="170" operator="lessThan">
      <formula>0</formula>
    </cfRule>
    <cfRule type="cellIs" dxfId="685" priority="171" operator="greaterThan">
      <formula>0</formula>
    </cfRule>
  </conditionalFormatting>
  <conditionalFormatting sqref="Q6">
    <cfRule type="cellIs" dxfId="684" priority="168" operator="lessThan">
      <formula>0</formula>
    </cfRule>
    <cfRule type="cellIs" dxfId="683" priority="169" operator="greaterThan">
      <formula>0</formula>
    </cfRule>
  </conditionalFormatting>
  <conditionalFormatting sqref="O7">
    <cfRule type="cellIs" dxfId="682" priority="161" operator="lessThan">
      <formula>0</formula>
    </cfRule>
    <cfRule type="cellIs" dxfId="681" priority="162" operator="greaterThan">
      <formula>0</formula>
    </cfRule>
  </conditionalFormatting>
  <conditionalFormatting sqref="O8">
    <cfRule type="cellIs" dxfId="680" priority="159" operator="lessThan">
      <formula>0</formula>
    </cfRule>
    <cfRule type="cellIs" dxfId="679" priority="160" operator="greaterThan">
      <formula>0</formula>
    </cfRule>
  </conditionalFormatting>
  <conditionalFormatting sqref="Q8">
    <cfRule type="cellIs" dxfId="678" priority="157" operator="lessThan">
      <formula>0</formula>
    </cfRule>
    <cfRule type="cellIs" dxfId="677" priority="158" operator="greaterThan">
      <formula>0</formula>
    </cfRule>
  </conditionalFormatting>
  <conditionalFormatting sqref="O9">
    <cfRule type="cellIs" dxfId="676" priority="151" operator="lessThan">
      <formula>0</formula>
    </cfRule>
    <cfRule type="cellIs" dxfId="675" priority="152" operator="greaterThan">
      <formula>0</formula>
    </cfRule>
  </conditionalFormatting>
  <conditionalFormatting sqref="Q9">
    <cfRule type="cellIs" dxfId="674" priority="149" operator="lessThan">
      <formula>0</formula>
    </cfRule>
    <cfRule type="cellIs" dxfId="673" priority="150" operator="greaterThan">
      <formula>0</formula>
    </cfRule>
  </conditionalFormatting>
  <conditionalFormatting sqref="O10">
    <cfRule type="cellIs" dxfId="672" priority="145" operator="lessThan">
      <formula>0</formula>
    </cfRule>
    <cfRule type="cellIs" dxfId="671" priority="146" operator="greaterThan">
      <formula>0</formula>
    </cfRule>
  </conditionalFormatting>
  <conditionalFormatting sqref="Q10">
    <cfRule type="cellIs" dxfId="670" priority="143" operator="lessThan">
      <formula>0</formula>
    </cfRule>
    <cfRule type="cellIs" dxfId="669" priority="144" operator="greaterThan">
      <formula>0</formula>
    </cfRule>
  </conditionalFormatting>
  <conditionalFormatting sqref="O11">
    <cfRule type="cellIs" dxfId="668" priority="139" operator="lessThan">
      <formula>0</formula>
    </cfRule>
    <cfRule type="cellIs" dxfId="667" priority="140" operator="greaterThan">
      <formula>0</formula>
    </cfRule>
  </conditionalFormatting>
  <conditionalFormatting sqref="Q11">
    <cfRule type="cellIs" dxfId="666" priority="137" operator="lessThan">
      <formula>0</formula>
    </cfRule>
    <cfRule type="cellIs" dxfId="665" priority="138" operator="greaterThan">
      <formula>0</formula>
    </cfRule>
  </conditionalFormatting>
  <conditionalFormatting sqref="O12">
    <cfRule type="cellIs" dxfId="664" priority="135" operator="lessThan">
      <formula>0</formula>
    </cfRule>
    <cfRule type="cellIs" dxfId="663" priority="136" operator="greaterThan">
      <formula>0</formula>
    </cfRule>
  </conditionalFormatting>
  <conditionalFormatting sqref="Q12">
    <cfRule type="cellIs" dxfId="662" priority="133" operator="lessThan">
      <formula>0</formula>
    </cfRule>
    <cfRule type="cellIs" dxfId="661" priority="134" operator="greaterThan">
      <formula>0</formula>
    </cfRule>
  </conditionalFormatting>
  <conditionalFormatting sqref="O13">
    <cfRule type="cellIs" dxfId="660" priority="131" operator="lessThan">
      <formula>0</formula>
    </cfRule>
    <cfRule type="cellIs" dxfId="659" priority="132" operator="greaterThan">
      <formula>0</formula>
    </cfRule>
  </conditionalFormatting>
  <conditionalFormatting sqref="Q13">
    <cfRule type="cellIs" dxfId="658" priority="129" operator="lessThan">
      <formula>0</formula>
    </cfRule>
    <cfRule type="cellIs" dxfId="657" priority="130" operator="greaterThan">
      <formula>0</formula>
    </cfRule>
  </conditionalFormatting>
  <conditionalFormatting sqref="O14">
    <cfRule type="cellIs" dxfId="656" priority="127" operator="lessThan">
      <formula>0</formula>
    </cfRule>
    <cfRule type="cellIs" dxfId="655" priority="128" operator="greaterThan">
      <formula>0</formula>
    </cfRule>
  </conditionalFormatting>
  <conditionalFormatting sqref="Q14">
    <cfRule type="cellIs" dxfId="654" priority="125" operator="lessThan">
      <formula>0</formula>
    </cfRule>
    <cfRule type="cellIs" dxfId="653" priority="126" operator="greaterThan">
      <formula>0</formula>
    </cfRule>
  </conditionalFormatting>
  <conditionalFormatting sqref="O15">
    <cfRule type="cellIs" dxfId="652" priority="123" operator="lessThan">
      <formula>0</formula>
    </cfRule>
    <cfRule type="cellIs" dxfId="651" priority="124" operator="greaterThan">
      <formula>0</formula>
    </cfRule>
  </conditionalFormatting>
  <conditionalFormatting sqref="O16">
    <cfRule type="cellIs" dxfId="650" priority="117" operator="lessThan">
      <formula>0</formula>
    </cfRule>
    <cfRule type="cellIs" dxfId="649" priority="118" operator="greaterThan">
      <formula>0</formula>
    </cfRule>
  </conditionalFormatting>
  <conditionalFormatting sqref="O17">
    <cfRule type="cellIs" dxfId="648" priority="113" operator="lessThan">
      <formula>0</formula>
    </cfRule>
    <cfRule type="cellIs" dxfId="647" priority="114" operator="greaterThan">
      <formula>0</formula>
    </cfRule>
  </conditionalFormatting>
  <conditionalFormatting sqref="Q17">
    <cfRule type="cellIs" dxfId="646" priority="111" operator="lessThan">
      <formula>0</formula>
    </cfRule>
    <cfRule type="cellIs" dxfId="645" priority="112" operator="greaterThan">
      <formula>0</formula>
    </cfRule>
  </conditionalFormatting>
  <conditionalFormatting sqref="O18">
    <cfRule type="cellIs" dxfId="644" priority="109" operator="lessThan">
      <formula>0</formula>
    </cfRule>
    <cfRule type="cellIs" dxfId="643" priority="110" operator="greaterThan">
      <formula>0</formula>
    </cfRule>
  </conditionalFormatting>
  <conditionalFormatting sqref="Q18">
    <cfRule type="cellIs" dxfId="642" priority="107" operator="lessThan">
      <formula>0</formula>
    </cfRule>
    <cfRule type="cellIs" dxfId="641" priority="108" operator="greaterThan">
      <formula>0</formula>
    </cfRule>
  </conditionalFormatting>
  <conditionalFormatting sqref="O19">
    <cfRule type="cellIs" dxfId="640" priority="105" operator="lessThan">
      <formula>0</formula>
    </cfRule>
    <cfRule type="cellIs" dxfId="639" priority="106" operator="greaterThan">
      <formula>0</formula>
    </cfRule>
  </conditionalFormatting>
  <conditionalFormatting sqref="O20">
    <cfRule type="cellIs" dxfId="638" priority="101" operator="lessThan">
      <formula>0</formula>
    </cfRule>
    <cfRule type="cellIs" dxfId="637" priority="102" operator="greaterThan">
      <formula>0</formula>
    </cfRule>
  </conditionalFormatting>
  <conditionalFormatting sqref="O21">
    <cfRule type="cellIs" dxfId="636" priority="97" operator="lessThan">
      <formula>0</formula>
    </cfRule>
    <cfRule type="cellIs" dxfId="635" priority="98" operator="greaterThan">
      <formula>0</formula>
    </cfRule>
  </conditionalFormatting>
  <conditionalFormatting sqref="O22">
    <cfRule type="cellIs" dxfId="634" priority="93" operator="lessThan">
      <formula>0</formula>
    </cfRule>
    <cfRule type="cellIs" dxfId="633" priority="94" operator="greaterThan">
      <formula>0</formula>
    </cfRule>
  </conditionalFormatting>
  <conditionalFormatting sqref="O23">
    <cfRule type="cellIs" dxfId="632" priority="89" operator="lessThan">
      <formula>0</formula>
    </cfRule>
    <cfRule type="cellIs" dxfId="631" priority="90" operator="greaterThan">
      <formula>0</formula>
    </cfRule>
  </conditionalFormatting>
  <conditionalFormatting sqref="O24">
    <cfRule type="cellIs" dxfId="630" priority="85" operator="lessThan">
      <formula>0</formula>
    </cfRule>
    <cfRule type="cellIs" dxfId="629" priority="86" operator="greaterThan">
      <formula>0</formula>
    </cfRule>
  </conditionalFormatting>
  <conditionalFormatting sqref="Q7">
    <cfRule type="cellIs" dxfId="628" priority="81" operator="lessThan">
      <formula>0</formula>
    </cfRule>
    <cfRule type="cellIs" dxfId="627" priority="82" operator="greaterThan">
      <formula>0</formula>
    </cfRule>
  </conditionalFormatting>
  <conditionalFormatting sqref="Q5">
    <cfRule type="cellIs" dxfId="626" priority="79" operator="lessThan">
      <formula>0</formula>
    </cfRule>
    <cfRule type="cellIs" dxfId="625" priority="80" operator="greaterThan">
      <formula>0</formula>
    </cfRule>
  </conditionalFormatting>
  <conditionalFormatting sqref="O25">
    <cfRule type="cellIs" dxfId="624" priority="77" operator="lessThan">
      <formula>0</formula>
    </cfRule>
    <cfRule type="cellIs" dxfId="623" priority="78" operator="greaterThan">
      <formula>0</formula>
    </cfRule>
  </conditionalFormatting>
  <conditionalFormatting sqref="Q25">
    <cfRule type="cellIs" dxfId="622" priority="75" operator="lessThan">
      <formula>0</formula>
    </cfRule>
    <cfRule type="cellIs" dxfId="621" priority="76" operator="greaterThan">
      <formula>0</formula>
    </cfRule>
  </conditionalFormatting>
  <conditionalFormatting sqref="O26">
    <cfRule type="cellIs" dxfId="620" priority="73" operator="lessThan">
      <formula>0</formula>
    </cfRule>
    <cfRule type="cellIs" dxfId="619" priority="74" operator="greaterThan">
      <formula>0</formula>
    </cfRule>
  </conditionalFormatting>
  <conditionalFormatting sqref="Q26">
    <cfRule type="cellIs" dxfId="618" priority="71" operator="lessThan">
      <formula>0</formula>
    </cfRule>
    <cfRule type="cellIs" dxfId="617" priority="72" operator="greaterThan">
      <formula>0</formula>
    </cfRule>
  </conditionalFormatting>
  <conditionalFormatting sqref="O27">
    <cfRule type="cellIs" dxfId="616" priority="69" operator="lessThan">
      <formula>0</formula>
    </cfRule>
    <cfRule type="cellIs" dxfId="615" priority="70" operator="greaterThan">
      <formula>0</formula>
    </cfRule>
  </conditionalFormatting>
  <conditionalFormatting sqref="Q27">
    <cfRule type="cellIs" dxfId="614" priority="67" operator="lessThan">
      <formula>0</formula>
    </cfRule>
    <cfRule type="cellIs" dxfId="613" priority="68" operator="greaterThan">
      <formula>0</formula>
    </cfRule>
  </conditionalFormatting>
  <conditionalFormatting sqref="O28">
    <cfRule type="cellIs" dxfId="612" priority="65" operator="lessThan">
      <formula>0</formula>
    </cfRule>
    <cfRule type="cellIs" dxfId="611" priority="66" operator="greaterThan">
      <formula>0</formula>
    </cfRule>
  </conditionalFormatting>
  <conditionalFormatting sqref="Q28">
    <cfRule type="cellIs" dxfId="610" priority="63" operator="lessThan">
      <formula>0</formula>
    </cfRule>
    <cfRule type="cellIs" dxfId="609" priority="64" operator="greaterThan">
      <formula>0</formula>
    </cfRule>
  </conditionalFormatting>
  <conditionalFormatting sqref="Q21">
    <cfRule type="cellIs" dxfId="608" priority="61" operator="lessThan">
      <formula>0</formula>
    </cfRule>
    <cfRule type="cellIs" dxfId="607" priority="62" operator="greaterThan">
      <formula>0</formula>
    </cfRule>
  </conditionalFormatting>
  <conditionalFormatting sqref="Q23">
    <cfRule type="cellIs" dxfId="606" priority="59" operator="lessThan">
      <formula>0</formula>
    </cfRule>
    <cfRule type="cellIs" dxfId="605" priority="60" operator="greaterThan">
      <formula>0</formula>
    </cfRule>
  </conditionalFormatting>
  <conditionalFormatting sqref="Q19">
    <cfRule type="cellIs" dxfId="604" priority="57" operator="lessThan">
      <formula>0</formula>
    </cfRule>
    <cfRule type="cellIs" dxfId="603" priority="58" operator="greaterThan">
      <formula>0</formula>
    </cfRule>
  </conditionalFormatting>
  <conditionalFormatting sqref="Q20">
    <cfRule type="cellIs" dxfId="602" priority="55" operator="lessThan">
      <formula>0</formula>
    </cfRule>
    <cfRule type="cellIs" dxfId="601" priority="56" operator="greaterThan">
      <formula>0</formula>
    </cfRule>
  </conditionalFormatting>
  <conditionalFormatting sqref="Q24">
    <cfRule type="cellIs" dxfId="600" priority="53" operator="lessThan">
      <formula>0</formula>
    </cfRule>
    <cfRule type="cellIs" dxfId="599" priority="54" operator="greaterThan">
      <formula>0</formula>
    </cfRule>
  </conditionalFormatting>
  <conditionalFormatting sqref="Q22">
    <cfRule type="cellIs" dxfId="598" priority="51" operator="lessThan">
      <formula>0</formula>
    </cfRule>
    <cfRule type="cellIs" dxfId="597" priority="52" operator="greaterThan">
      <formula>0</formula>
    </cfRule>
  </conditionalFormatting>
  <conditionalFormatting sqref="O29">
    <cfRule type="cellIs" dxfId="596" priority="49" operator="lessThan">
      <formula>0</formula>
    </cfRule>
    <cfRule type="cellIs" dxfId="595" priority="50" operator="greaterThan">
      <formula>0</formula>
    </cfRule>
  </conditionalFormatting>
  <conditionalFormatting sqref="Q29">
    <cfRule type="cellIs" dxfId="594" priority="47" operator="lessThan">
      <formula>0</formula>
    </cfRule>
    <cfRule type="cellIs" dxfId="593" priority="48" operator="greaterThan">
      <formula>0</formula>
    </cfRule>
  </conditionalFormatting>
  <conditionalFormatting sqref="O30">
    <cfRule type="cellIs" dxfId="592" priority="45" operator="lessThan">
      <formula>0</formula>
    </cfRule>
    <cfRule type="cellIs" dxfId="591" priority="46" operator="greaterThan">
      <formula>0</formula>
    </cfRule>
  </conditionalFormatting>
  <conditionalFormatting sqref="Q30">
    <cfRule type="cellIs" dxfId="590" priority="43" operator="lessThan">
      <formula>0</formula>
    </cfRule>
    <cfRule type="cellIs" dxfId="589" priority="44" operator="greaterThan">
      <formula>0</formula>
    </cfRule>
  </conditionalFormatting>
  <conditionalFormatting sqref="Q4">
    <cfRule type="cellIs" dxfId="588" priority="41" operator="lessThan">
      <formula>0</formula>
    </cfRule>
    <cfRule type="cellIs" dxfId="587" priority="42" operator="greaterThan">
      <formula>0</formula>
    </cfRule>
  </conditionalFormatting>
  <conditionalFormatting sqref="O31">
    <cfRule type="cellIs" dxfId="586" priority="39" operator="lessThan">
      <formula>0</formula>
    </cfRule>
    <cfRule type="cellIs" dxfId="585" priority="40" operator="greaterThan">
      <formula>0</formula>
    </cfRule>
  </conditionalFormatting>
  <conditionalFormatting sqref="Q31">
    <cfRule type="cellIs" dxfId="584" priority="37" operator="lessThan">
      <formula>0</formula>
    </cfRule>
    <cfRule type="cellIs" dxfId="583" priority="38" operator="greaterThan">
      <formula>0</formula>
    </cfRule>
  </conditionalFormatting>
  <conditionalFormatting sqref="O32">
    <cfRule type="cellIs" dxfId="582" priority="35" operator="lessThan">
      <formula>0</formula>
    </cfRule>
    <cfRule type="cellIs" dxfId="581" priority="36" operator="greaterThan">
      <formula>0</formula>
    </cfRule>
  </conditionalFormatting>
  <conditionalFormatting sqref="Q32">
    <cfRule type="cellIs" dxfId="580" priority="33" operator="lessThan">
      <formula>0</formula>
    </cfRule>
    <cfRule type="cellIs" dxfId="579" priority="34" operator="greaterThan">
      <formula>0</formula>
    </cfRule>
  </conditionalFormatting>
  <conditionalFormatting sqref="Q15">
    <cfRule type="cellIs" dxfId="578" priority="31" operator="lessThan">
      <formula>0</formula>
    </cfRule>
    <cfRule type="cellIs" dxfId="577" priority="32" operator="greaterThan">
      <formula>0</formula>
    </cfRule>
  </conditionalFormatting>
  <conditionalFormatting sqref="O33">
    <cfRule type="cellIs" dxfId="576" priority="29" operator="lessThan">
      <formula>0</formula>
    </cfRule>
    <cfRule type="cellIs" dxfId="575" priority="30" operator="greaterThan">
      <formula>0</formula>
    </cfRule>
  </conditionalFormatting>
  <conditionalFormatting sqref="Q33">
    <cfRule type="cellIs" dxfId="574" priority="27" operator="lessThan">
      <formula>0</formula>
    </cfRule>
    <cfRule type="cellIs" dxfId="573" priority="28" operator="greaterThan">
      <formula>0</formula>
    </cfRule>
  </conditionalFormatting>
  <conditionalFormatting sqref="O34">
    <cfRule type="cellIs" dxfId="572" priority="25" operator="lessThan">
      <formula>0</formula>
    </cfRule>
    <cfRule type="cellIs" dxfId="571" priority="26" operator="greaterThan">
      <formula>0</formula>
    </cfRule>
  </conditionalFormatting>
  <conditionalFormatting sqref="Q34">
    <cfRule type="cellIs" dxfId="570" priority="23" operator="lessThan">
      <formula>0</formula>
    </cfRule>
    <cfRule type="cellIs" dxfId="569" priority="24" operator="greaterThan">
      <formula>0</formula>
    </cfRule>
  </conditionalFormatting>
  <conditionalFormatting sqref="O35">
    <cfRule type="cellIs" dxfId="568" priority="21" operator="lessThan">
      <formula>0</formula>
    </cfRule>
    <cfRule type="cellIs" dxfId="567" priority="22" operator="greaterThan">
      <formula>0</formula>
    </cfRule>
  </conditionalFormatting>
  <conditionalFormatting sqref="Q35">
    <cfRule type="cellIs" dxfId="566" priority="19" operator="lessThan">
      <formula>0</formula>
    </cfRule>
    <cfRule type="cellIs" dxfId="565" priority="20" operator="greaterThan">
      <formula>0</formula>
    </cfRule>
  </conditionalFormatting>
  <conditionalFormatting sqref="O36">
    <cfRule type="cellIs" dxfId="564" priority="17" operator="lessThan">
      <formula>0</formula>
    </cfRule>
    <cfRule type="cellIs" dxfId="563" priority="18" operator="greaterThan">
      <formula>0</formula>
    </cfRule>
  </conditionalFormatting>
  <conditionalFormatting sqref="Q36">
    <cfRule type="cellIs" dxfId="562" priority="15" operator="lessThan">
      <formula>0</formula>
    </cfRule>
    <cfRule type="cellIs" dxfId="561" priority="16" operator="greaterThan">
      <formula>0</formula>
    </cfRule>
  </conditionalFormatting>
  <conditionalFormatting sqref="O37">
    <cfRule type="cellIs" dxfId="560" priority="13" operator="lessThan">
      <formula>0</formula>
    </cfRule>
    <cfRule type="cellIs" dxfId="559" priority="14" operator="greaterThan">
      <formula>0</formula>
    </cfRule>
  </conditionalFormatting>
  <conditionalFormatting sqref="Q37">
    <cfRule type="cellIs" dxfId="558" priority="11" operator="lessThan">
      <formula>0</formula>
    </cfRule>
    <cfRule type="cellIs" dxfId="557" priority="12" operator="greaterThan">
      <formula>0</formula>
    </cfRule>
  </conditionalFormatting>
  <conditionalFormatting sqref="O38">
    <cfRule type="cellIs" dxfId="556" priority="9" operator="lessThan">
      <formula>0</formula>
    </cfRule>
    <cfRule type="cellIs" dxfId="555" priority="10" operator="greaterThan">
      <formula>0</formula>
    </cfRule>
  </conditionalFormatting>
  <conditionalFormatting sqref="Q38">
    <cfRule type="cellIs" dxfId="554" priority="7" operator="lessThan">
      <formula>0</formula>
    </cfRule>
    <cfRule type="cellIs" dxfId="553" priority="8" operator="greaterThan">
      <formula>0</formula>
    </cfRule>
  </conditionalFormatting>
  <conditionalFormatting sqref="O39">
    <cfRule type="cellIs" dxfId="552" priority="5" operator="lessThan">
      <formula>0</formula>
    </cfRule>
    <cfRule type="cellIs" dxfId="551" priority="6" operator="greaterThan">
      <formula>0</formula>
    </cfRule>
  </conditionalFormatting>
  <conditionalFormatting sqref="Q39">
    <cfRule type="cellIs" dxfId="550" priority="3" operator="lessThan">
      <formula>0</formula>
    </cfRule>
    <cfRule type="cellIs" dxfId="549" priority="4" operator="greaterThan">
      <formula>0</formula>
    </cfRule>
  </conditionalFormatting>
  <conditionalFormatting sqref="Q16">
    <cfRule type="cellIs" dxfId="548" priority="1" operator="lessThan">
      <formula>0</formula>
    </cfRule>
    <cfRule type="cellIs" dxfId="547" priority="2" operator="greaterThan">
      <formula>0</formula>
    </cfRule>
  </conditionalFormatting>
  <pageMargins left="0.7" right="0.7" top="0.75" bottom="0.75" header="0.3" footer="0.3"/>
  <pageSetup paperSize="9" orientation="portrait" r:id="rId1"/>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V48"/>
  <sheetViews>
    <sheetView zoomScale="80" zoomScaleNormal="80" workbookViewId="0">
      <pane xSplit="3" ySplit="4" topLeftCell="D5" activePane="bottomRight" state="frozen"/>
      <selection pane="topRight" activeCell="D1" sqref="D1"/>
      <selection pane="bottomLeft" activeCell="A5" sqref="A5"/>
      <selection pane="bottomRight" activeCell="E44" sqref="E44:K44"/>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8.28515625" style="696" bestFit="1" customWidth="1"/>
    <col min="6" max="6" width="18.28515625" bestFit="1" customWidth="1"/>
    <col min="7" max="7" width="18.28515625" style="97" bestFit="1" customWidth="1"/>
    <col min="8" max="9" width="18.28515625" bestFit="1" customWidth="1"/>
    <col min="10" max="19" width="18.28515625" style="5" bestFit="1" customWidth="1"/>
    <col min="20" max="20" width="11.42578125" style="5"/>
    <col min="21" max="21" width="15.42578125" style="5" bestFit="1" customWidth="1"/>
    <col min="22" max="22" width="9.7109375" style="5" bestFit="1" customWidth="1"/>
    <col min="23" max="16384" width="11.42578125" style="5"/>
  </cols>
  <sheetData>
    <row r="1" spans="1:22" ht="23.25" x14ac:dyDescent="0.35">
      <c r="A1" s="156" t="s">
        <v>13</v>
      </c>
      <c r="B1" s="255"/>
      <c r="C1" s="255"/>
    </row>
    <row r="2" spans="1:22" s="178" customFormat="1" ht="12.75" x14ac:dyDescent="0.2">
      <c r="B2" s="297"/>
      <c r="C2" s="297"/>
      <c r="D2" s="181">
        <f>EconomiaT49!S2+7</f>
        <v>42525</v>
      </c>
      <c r="E2" s="181">
        <f>D2+7</f>
        <v>42532</v>
      </c>
      <c r="F2" s="181">
        <f t="shared" ref="F2:S2" si="0">E2+7</f>
        <v>42539</v>
      </c>
      <c r="G2" s="181">
        <f t="shared" si="0"/>
        <v>42546</v>
      </c>
      <c r="H2" s="181">
        <f t="shared" si="0"/>
        <v>42553</v>
      </c>
      <c r="I2" s="181">
        <f t="shared" si="0"/>
        <v>42560</v>
      </c>
      <c r="J2" s="181">
        <f t="shared" si="0"/>
        <v>42567</v>
      </c>
      <c r="K2" s="181">
        <f t="shared" si="0"/>
        <v>42574</v>
      </c>
      <c r="L2" s="181">
        <f t="shared" si="0"/>
        <v>42581</v>
      </c>
      <c r="M2" s="181">
        <f t="shared" si="0"/>
        <v>42588</v>
      </c>
      <c r="N2" s="181">
        <f t="shared" si="0"/>
        <v>42595</v>
      </c>
      <c r="O2" s="181">
        <f t="shared" si="0"/>
        <v>42602</v>
      </c>
      <c r="P2" s="181">
        <f t="shared" si="0"/>
        <v>42609</v>
      </c>
      <c r="Q2" s="181">
        <f t="shared" si="0"/>
        <v>42616</v>
      </c>
      <c r="R2" s="181">
        <f t="shared" si="0"/>
        <v>42623</v>
      </c>
      <c r="S2" s="181">
        <f t="shared" si="0"/>
        <v>42630</v>
      </c>
      <c r="T2" s="181"/>
    </row>
    <row r="3" spans="1:22" s="6" customFormat="1" x14ac:dyDescent="0.25">
      <c r="A3" s="27"/>
      <c r="B3" s="27"/>
      <c r="C3" s="298" t="s">
        <v>2412</v>
      </c>
      <c r="D3" s="148" t="s">
        <v>16</v>
      </c>
      <c r="E3" s="148" t="s">
        <v>715</v>
      </c>
      <c r="F3" s="148" t="s">
        <v>702</v>
      </c>
      <c r="G3" s="148" t="s">
        <v>703</v>
      </c>
      <c r="H3" s="148" t="s">
        <v>704</v>
      </c>
      <c r="I3" s="148" t="s">
        <v>705</v>
      </c>
      <c r="J3" s="148" t="s">
        <v>21</v>
      </c>
      <c r="K3" s="148" t="s">
        <v>22</v>
      </c>
      <c r="L3" s="148" t="s">
        <v>23</v>
      </c>
      <c r="M3" s="148" t="s">
        <v>17</v>
      </c>
      <c r="N3" s="148" t="s">
        <v>18</v>
      </c>
      <c r="O3" s="148" t="s">
        <v>24</v>
      </c>
      <c r="P3" s="148" t="s">
        <v>25</v>
      </c>
      <c r="Q3" s="148" t="s">
        <v>26</v>
      </c>
      <c r="R3" s="148" t="s">
        <v>27</v>
      </c>
      <c r="S3" s="159" t="s">
        <v>28</v>
      </c>
    </row>
    <row r="4" spans="1:22" s="6" customFormat="1" x14ac:dyDescent="0.25">
      <c r="A4" s="27"/>
      <c r="B4" s="298"/>
      <c r="C4" s="298" t="s">
        <v>42</v>
      </c>
      <c r="D4" s="215">
        <v>2306</v>
      </c>
      <c r="E4" s="215">
        <f>D4+(D11/30)-11</f>
        <v>2298</v>
      </c>
      <c r="F4" s="215">
        <f t="shared" ref="F4:S4" si="1">E4+(E11/30)</f>
        <v>2301</v>
      </c>
      <c r="G4" s="215">
        <f t="shared" si="1"/>
        <v>2303</v>
      </c>
      <c r="H4" s="215">
        <f t="shared" si="1"/>
        <v>2309</v>
      </c>
      <c r="I4" s="215">
        <f t="shared" si="1"/>
        <v>2315</v>
      </c>
      <c r="J4" s="215">
        <f t="shared" si="1"/>
        <v>2321</v>
      </c>
      <c r="K4" s="215">
        <f t="shared" si="1"/>
        <v>2327</v>
      </c>
      <c r="L4" s="215">
        <f t="shared" si="1"/>
        <v>2333</v>
      </c>
      <c r="M4" s="215">
        <f t="shared" si="1"/>
        <v>2339</v>
      </c>
      <c r="N4" s="215">
        <f t="shared" si="1"/>
        <v>2339</v>
      </c>
      <c r="O4" s="215">
        <f t="shared" si="1"/>
        <v>2343</v>
      </c>
      <c r="P4" s="215">
        <f t="shared" si="1"/>
        <v>2348</v>
      </c>
      <c r="Q4" s="215">
        <f t="shared" si="1"/>
        <v>2352</v>
      </c>
      <c r="R4" s="215">
        <f t="shared" si="1"/>
        <v>2356</v>
      </c>
      <c r="S4" s="503">
        <f t="shared" si="1"/>
        <v>2360</v>
      </c>
    </row>
    <row r="5" spans="1:22" s="7" customFormat="1" ht="18.75" x14ac:dyDescent="0.3">
      <c r="A5" s="29" t="s">
        <v>12</v>
      </c>
      <c r="B5" s="29"/>
      <c r="C5" s="296">
        <f>EconomiaT49!S24</f>
        <v>5651581.5889290832</v>
      </c>
      <c r="D5" s="197">
        <f>C5</f>
        <v>5651581.5889290832</v>
      </c>
      <c r="E5" s="197">
        <f>D24</f>
        <v>743161.5889290832</v>
      </c>
      <c r="F5" s="197">
        <f t="shared" ref="F5:S5" si="2">E24</f>
        <v>709808.5889290832</v>
      </c>
      <c r="G5" s="197">
        <f t="shared" si="2"/>
        <v>758257.5889290832</v>
      </c>
      <c r="H5" s="197">
        <f t="shared" si="2"/>
        <v>1425589.5889290832</v>
      </c>
      <c r="I5" s="197">
        <f t="shared" si="2"/>
        <v>1571467.5889290832</v>
      </c>
      <c r="J5" s="197">
        <f t="shared" si="2"/>
        <v>1905357.5889290832</v>
      </c>
      <c r="K5" s="197">
        <f t="shared" si="2"/>
        <v>1698186.5889290832</v>
      </c>
      <c r="L5" s="197">
        <f t="shared" si="2"/>
        <v>2016303.5889290832</v>
      </c>
      <c r="M5" s="197">
        <f t="shared" si="2"/>
        <v>1965991.5889290832</v>
      </c>
      <c r="N5" s="197">
        <f t="shared" si="2"/>
        <v>2344123.5889290832</v>
      </c>
      <c r="O5" s="197">
        <f t="shared" si="2"/>
        <v>2234734.5889290832</v>
      </c>
      <c r="P5" s="197">
        <f t="shared" si="2"/>
        <v>2054665.5889290832</v>
      </c>
      <c r="Q5" s="197">
        <f t="shared" si="2"/>
        <v>2594311.5889290832</v>
      </c>
      <c r="R5" s="197">
        <f t="shared" si="2"/>
        <v>2750191.5889290832</v>
      </c>
      <c r="S5" s="198">
        <f t="shared" si="2"/>
        <v>4722584.5889290832</v>
      </c>
    </row>
    <row r="6" spans="1:22" x14ac:dyDescent="0.25">
      <c r="A6" s="8" t="s">
        <v>0</v>
      </c>
      <c r="B6" s="8" t="s">
        <v>0</v>
      </c>
      <c r="C6" s="199">
        <f>SUM(D6:S6)</f>
        <v>5373287</v>
      </c>
      <c r="D6" s="202">
        <v>49083</v>
      </c>
      <c r="E6" s="202">
        <v>119342</v>
      </c>
      <c r="F6" s="202">
        <v>362961</v>
      </c>
      <c r="G6" s="202">
        <v>31763</v>
      </c>
      <c r="H6" s="202">
        <f>430672+38432</f>
        <v>469104</v>
      </c>
      <c r="I6" s="202">
        <v>564683</v>
      </c>
      <c r="J6" s="202">
        <v>111535</v>
      </c>
      <c r="K6" s="202">
        <v>630413</v>
      </c>
      <c r="L6" s="202">
        <v>153844</v>
      </c>
      <c r="M6" s="202">
        <f>570686+133608</f>
        <v>704294</v>
      </c>
      <c r="N6" s="202">
        <v>155456</v>
      </c>
      <c r="O6" s="202">
        <f>151613</f>
        <v>151613</v>
      </c>
      <c r="P6" s="202">
        <v>841854</v>
      </c>
      <c r="Q6" s="202">
        <v>204667</v>
      </c>
      <c r="R6" s="202">
        <f>565968+208120</f>
        <v>774088</v>
      </c>
      <c r="S6" s="201">
        <f>23777+24810</f>
        <v>48587</v>
      </c>
      <c r="U6" s="8" t="s">
        <v>0</v>
      </c>
      <c r="V6" s="219">
        <f>C6/$C$13</f>
        <v>0.29008861239774558</v>
      </c>
    </row>
    <row r="7" spans="1:22" x14ac:dyDescent="0.25">
      <c r="A7" s="8" t="s">
        <v>2</v>
      </c>
      <c r="B7" s="8" t="s">
        <v>2</v>
      </c>
      <c r="C7" s="199">
        <f t="shared" ref="C7:C23" si="3">SUM(D7:S7)</f>
        <v>2074115</v>
      </c>
      <c r="D7" s="202">
        <v>96945</v>
      </c>
      <c r="E7" s="202">
        <v>113225</v>
      </c>
      <c r="F7" s="202">
        <v>122845</v>
      </c>
      <c r="G7" s="202">
        <v>128025</v>
      </c>
      <c r="H7" s="202">
        <v>130985</v>
      </c>
      <c r="I7" s="202">
        <v>132650</v>
      </c>
      <c r="J7" s="202">
        <v>133575</v>
      </c>
      <c r="K7" s="202">
        <v>134315</v>
      </c>
      <c r="L7" s="202">
        <v>134685</v>
      </c>
      <c r="M7" s="627">
        <f t="shared" ref="M7:O7" si="4">L7</f>
        <v>134685</v>
      </c>
      <c r="N7" s="627">
        <f t="shared" si="4"/>
        <v>134685</v>
      </c>
      <c r="O7" s="627">
        <f t="shared" si="4"/>
        <v>134685</v>
      </c>
      <c r="P7" s="202">
        <v>135425</v>
      </c>
      <c r="Q7" s="202">
        <v>135610</v>
      </c>
      <c r="R7" s="202">
        <v>135795</v>
      </c>
      <c r="S7" s="542">
        <v>135980</v>
      </c>
      <c r="U7" s="8" t="s">
        <v>2</v>
      </c>
      <c r="V7" s="219">
        <f t="shared" ref="V7:V12" si="5">C7/$C$13</f>
        <v>0.11197561982141473</v>
      </c>
    </row>
    <row r="8" spans="1:22" x14ac:dyDescent="0.25">
      <c r="A8" s="8" t="s">
        <v>3</v>
      </c>
      <c r="B8" s="8" t="s">
        <v>48</v>
      </c>
      <c r="C8" s="199">
        <f t="shared" si="3"/>
        <v>8798990</v>
      </c>
      <c r="D8" s="202">
        <v>252646</v>
      </c>
      <c r="E8" s="202">
        <f>75089+31017+46969</f>
        <v>153075</v>
      </c>
      <c r="F8" s="202">
        <v>0</v>
      </c>
      <c r="G8" s="202">
        <v>902119</v>
      </c>
      <c r="H8" s="202">
        <v>0</v>
      </c>
      <c r="I8" s="202">
        <v>0</v>
      </c>
      <c r="J8" s="202">
        <v>0</v>
      </c>
      <c r="K8" s="202">
        <v>0</v>
      </c>
      <c r="L8" s="202">
        <v>0</v>
      </c>
      <c r="M8" s="202">
        <v>0</v>
      </c>
      <c r="N8" s="202">
        <v>0</v>
      </c>
      <c r="O8" s="202">
        <v>0</v>
      </c>
      <c r="P8" s="202">
        <v>0</v>
      </c>
      <c r="Q8" s="202">
        <v>0</v>
      </c>
      <c r="R8" s="202">
        <v>1304790</v>
      </c>
      <c r="S8" s="201">
        <f>4734630+1451730</f>
        <v>6186360</v>
      </c>
      <c r="U8" s="8" t="s">
        <v>48</v>
      </c>
      <c r="V8" s="219">
        <f t="shared" si="5"/>
        <v>0.47503265684517493</v>
      </c>
    </row>
    <row r="9" spans="1:22" x14ac:dyDescent="0.25">
      <c r="A9" s="8"/>
      <c r="B9" s="8" t="s">
        <v>820</v>
      </c>
      <c r="C9" s="199">
        <f t="shared" si="3"/>
        <v>526563</v>
      </c>
      <c r="D9" s="202">
        <v>116875</v>
      </c>
      <c r="E9" s="202">
        <v>0</v>
      </c>
      <c r="F9" s="202">
        <v>0</v>
      </c>
      <c r="G9" s="202">
        <v>0</v>
      </c>
      <c r="H9" s="202">
        <v>0</v>
      </c>
      <c r="I9" s="202">
        <v>2138</v>
      </c>
      <c r="J9" s="202">
        <v>0</v>
      </c>
      <c r="K9" s="202">
        <v>950</v>
      </c>
      <c r="L9" s="202">
        <v>121600</v>
      </c>
      <c r="M9" s="202">
        <v>0</v>
      </c>
      <c r="N9" s="202">
        <v>0</v>
      </c>
      <c r="O9" s="202">
        <v>0</v>
      </c>
      <c r="P9" s="202">
        <v>0</v>
      </c>
      <c r="Q9" s="202">
        <v>285000</v>
      </c>
      <c r="R9" s="202">
        <v>0</v>
      </c>
      <c r="S9" s="201">
        <v>0</v>
      </c>
      <c r="U9" s="8" t="s">
        <v>820</v>
      </c>
      <c r="V9" s="219">
        <f t="shared" si="5"/>
        <v>2.842765145617461E-2</v>
      </c>
    </row>
    <row r="10" spans="1:22" x14ac:dyDescent="0.25">
      <c r="A10" s="8" t="s">
        <v>5</v>
      </c>
      <c r="B10" s="8" t="s">
        <v>5</v>
      </c>
      <c r="C10" s="199">
        <f t="shared" si="3"/>
        <v>609709</v>
      </c>
      <c r="D10" s="202">
        <v>19530</v>
      </c>
      <c r="E10" s="202">
        <v>55160</v>
      </c>
      <c r="F10" s="202">
        <v>32960</v>
      </c>
      <c r="G10" s="202">
        <v>74560</v>
      </c>
      <c r="H10" s="202">
        <v>0</v>
      </c>
      <c r="I10" s="202">
        <v>86700</v>
      </c>
      <c r="J10" s="202">
        <v>0</v>
      </c>
      <c r="K10" s="202">
        <v>2030</v>
      </c>
      <c r="L10" s="202">
        <v>0</v>
      </c>
      <c r="M10" s="202">
        <v>5670</v>
      </c>
      <c r="N10" s="202">
        <f>11040+58280</f>
        <v>69320</v>
      </c>
      <c r="O10" s="202"/>
      <c r="P10" s="202">
        <v>28764</v>
      </c>
      <c r="Q10" s="202">
        <v>0</v>
      </c>
      <c r="R10" s="202">
        <f>6885+63240</f>
        <v>70125</v>
      </c>
      <c r="S10" s="201">
        <v>164890</v>
      </c>
      <c r="U10" s="8" t="s">
        <v>5</v>
      </c>
      <c r="V10" s="219">
        <f t="shared" si="5"/>
        <v>3.2916469523481075E-2</v>
      </c>
    </row>
    <row r="11" spans="1:22" x14ac:dyDescent="0.25">
      <c r="A11" s="728" t="s">
        <v>7</v>
      </c>
      <c r="B11" s="8" t="s">
        <v>42</v>
      </c>
      <c r="C11" s="199">
        <f t="shared" si="3"/>
        <v>80252</v>
      </c>
      <c r="D11" s="202">
        <v>90</v>
      </c>
      <c r="E11" s="202">
        <v>90</v>
      </c>
      <c r="F11" s="202">
        <v>60</v>
      </c>
      <c r="G11" s="202">
        <v>180</v>
      </c>
      <c r="H11" s="202">
        <f>G11</f>
        <v>180</v>
      </c>
      <c r="I11" s="202">
        <f t="shared" ref="I11:R11" si="6">H11</f>
        <v>180</v>
      </c>
      <c r="J11" s="202">
        <f t="shared" si="6"/>
        <v>180</v>
      </c>
      <c r="K11" s="202">
        <f t="shared" si="6"/>
        <v>180</v>
      </c>
      <c r="L11" s="202">
        <f t="shared" si="6"/>
        <v>180</v>
      </c>
      <c r="M11" s="202">
        <v>0</v>
      </c>
      <c r="N11" s="202">
        <v>120</v>
      </c>
      <c r="O11" s="202">
        <f>60+90</f>
        <v>150</v>
      </c>
      <c r="P11" s="202">
        <v>120</v>
      </c>
      <c r="Q11" s="202">
        <v>120</v>
      </c>
      <c r="R11" s="202">
        <f t="shared" si="6"/>
        <v>120</v>
      </c>
      <c r="S11" s="201">
        <f>71012+7110+180</f>
        <v>78302</v>
      </c>
      <c r="U11" s="8" t="s">
        <v>19</v>
      </c>
      <c r="V11" s="219">
        <f t="shared" si="5"/>
        <v>4.3325791684203502E-3</v>
      </c>
    </row>
    <row r="12" spans="1:22" x14ac:dyDescent="0.25">
      <c r="A12" s="729"/>
      <c r="B12" s="8" t="s">
        <v>51</v>
      </c>
      <c r="C12" s="199">
        <f t="shared" si="3"/>
        <v>1060000</v>
      </c>
      <c r="D12" s="202">
        <v>0</v>
      </c>
      <c r="E12" s="202">
        <v>0</v>
      </c>
      <c r="F12" s="202">
        <v>0</v>
      </c>
      <c r="G12" s="202">
        <v>0</v>
      </c>
      <c r="H12" s="202">
        <v>0</v>
      </c>
      <c r="I12" s="202">
        <v>0</v>
      </c>
      <c r="J12" s="202">
        <v>0</v>
      </c>
      <c r="K12" s="202">
        <v>0</v>
      </c>
      <c r="L12" s="202">
        <v>0</v>
      </c>
      <c r="M12" s="202">
        <v>0</v>
      </c>
      <c r="N12" s="202">
        <v>0</v>
      </c>
      <c r="O12" s="202">
        <v>0</v>
      </c>
      <c r="P12" s="202">
        <v>0</v>
      </c>
      <c r="Q12" s="202">
        <v>0</v>
      </c>
      <c r="R12" s="202">
        <f>10000+150000</f>
        <v>160000</v>
      </c>
      <c r="S12" s="201">
        <f>600000+300000</f>
        <v>900000</v>
      </c>
      <c r="U12" s="8" t="s">
        <v>51</v>
      </c>
      <c r="V12" s="219">
        <f t="shared" si="5"/>
        <v>5.7226410787588736E-2</v>
      </c>
    </row>
    <row r="13" spans="1:22" s="21" customFormat="1" ht="18.75" x14ac:dyDescent="0.3">
      <c r="A13" s="19" t="s">
        <v>14</v>
      </c>
      <c r="B13" s="20"/>
      <c r="C13" s="203">
        <f t="shared" si="3"/>
        <v>18522916</v>
      </c>
      <c r="D13" s="204">
        <f t="shared" ref="D13:I13" si="7">SUM(D6:D12)</f>
        <v>535169</v>
      </c>
      <c r="E13" s="204">
        <f t="shared" si="7"/>
        <v>440892</v>
      </c>
      <c r="F13" s="204">
        <f t="shared" si="7"/>
        <v>518826</v>
      </c>
      <c r="G13" s="204">
        <f>G12+G11+G10+G9+G8+G7+G6</f>
        <v>1136647</v>
      </c>
      <c r="H13" s="204">
        <f t="shared" si="7"/>
        <v>600269</v>
      </c>
      <c r="I13" s="204">
        <f t="shared" si="7"/>
        <v>786351</v>
      </c>
      <c r="J13" s="204">
        <f t="shared" ref="J13:S13" si="8">SUM(J6:J12)</f>
        <v>245290</v>
      </c>
      <c r="K13" s="204">
        <f t="shared" si="8"/>
        <v>767888</v>
      </c>
      <c r="L13" s="204">
        <f t="shared" si="8"/>
        <v>410309</v>
      </c>
      <c r="M13" s="204">
        <f t="shared" si="8"/>
        <v>844649</v>
      </c>
      <c r="N13" s="204">
        <f t="shared" si="8"/>
        <v>359581</v>
      </c>
      <c r="O13" s="204">
        <f t="shared" si="8"/>
        <v>286448</v>
      </c>
      <c r="P13" s="204">
        <f t="shared" si="8"/>
        <v>1006163</v>
      </c>
      <c r="Q13" s="204">
        <f t="shared" si="8"/>
        <v>625397</v>
      </c>
      <c r="R13" s="204">
        <f t="shared" si="8"/>
        <v>2444918</v>
      </c>
      <c r="S13" s="205">
        <f t="shared" si="8"/>
        <v>7514119</v>
      </c>
      <c r="V13" s="222">
        <f>SUM(V6:V12)</f>
        <v>1</v>
      </c>
    </row>
    <row r="14" spans="1:22" ht="18.75" x14ac:dyDescent="0.3">
      <c r="A14" s="22" t="s">
        <v>1</v>
      </c>
      <c r="B14" s="23" t="str">
        <f>A14</f>
        <v>Sueldos</v>
      </c>
      <c r="C14" s="206">
        <f t="shared" si="3"/>
        <v>5584002</v>
      </c>
      <c r="D14" s="207">
        <v>317134</v>
      </c>
      <c r="E14" s="207">
        <v>365686</v>
      </c>
      <c r="F14" s="207">
        <v>362818</v>
      </c>
      <c r="G14" s="207">
        <v>363756</v>
      </c>
      <c r="H14" s="207">
        <v>348832</v>
      </c>
      <c r="I14" s="207">
        <v>343902</v>
      </c>
      <c r="J14" s="207">
        <f t="shared" ref="J14" si="9">I14</f>
        <v>343902</v>
      </c>
      <c r="K14" s="207">
        <v>344212</v>
      </c>
      <c r="L14" s="207">
        <v>343902</v>
      </c>
      <c r="M14" s="207">
        <v>352798</v>
      </c>
      <c r="N14" s="207">
        <v>352798</v>
      </c>
      <c r="O14" s="207">
        <v>352798</v>
      </c>
      <c r="P14" s="207">
        <v>352798</v>
      </c>
      <c r="Q14" s="207">
        <v>352798</v>
      </c>
      <c r="R14" s="207">
        <v>350806</v>
      </c>
      <c r="S14" s="542">
        <v>335062</v>
      </c>
      <c r="U14" s="744">
        <f>C13</f>
        <v>18522916</v>
      </c>
      <c r="V14" s="745"/>
    </row>
    <row r="15" spans="1:22" x14ac:dyDescent="0.25">
      <c r="A15" s="22" t="s">
        <v>29</v>
      </c>
      <c r="B15" s="23" t="str">
        <f>A15</f>
        <v xml:space="preserve">Mantenimiento </v>
      </c>
      <c r="C15" s="206">
        <f t="shared" si="3"/>
        <v>665584</v>
      </c>
      <c r="D15" s="207">
        <f>EconomiaT49!S15</f>
        <v>41599</v>
      </c>
      <c r="E15" s="207">
        <f>D15</f>
        <v>41599</v>
      </c>
      <c r="F15" s="207">
        <f t="shared" ref="F15:S15" si="10">E15</f>
        <v>41599</v>
      </c>
      <c r="G15" s="207">
        <f t="shared" si="10"/>
        <v>41599</v>
      </c>
      <c r="H15" s="207">
        <f t="shared" si="10"/>
        <v>41599</v>
      </c>
      <c r="I15" s="207">
        <f t="shared" si="10"/>
        <v>41599</v>
      </c>
      <c r="J15" s="207">
        <f t="shared" si="10"/>
        <v>41599</v>
      </c>
      <c r="K15" s="207">
        <f t="shared" si="10"/>
        <v>41599</v>
      </c>
      <c r="L15" s="207">
        <f t="shared" si="10"/>
        <v>41599</v>
      </c>
      <c r="M15" s="207">
        <f t="shared" si="10"/>
        <v>41599</v>
      </c>
      <c r="N15" s="207">
        <f t="shared" si="10"/>
        <v>41599</v>
      </c>
      <c r="O15" s="207">
        <f t="shared" si="10"/>
        <v>41599</v>
      </c>
      <c r="P15" s="207">
        <f t="shared" si="10"/>
        <v>41599</v>
      </c>
      <c r="Q15" s="207">
        <f t="shared" si="10"/>
        <v>41599</v>
      </c>
      <c r="R15" s="207">
        <f t="shared" si="10"/>
        <v>41599</v>
      </c>
      <c r="S15" s="201">
        <f t="shared" si="10"/>
        <v>41599</v>
      </c>
    </row>
    <row r="16" spans="1:22" x14ac:dyDescent="0.25">
      <c r="A16" s="22" t="s">
        <v>4</v>
      </c>
      <c r="B16" s="23" t="s">
        <v>30</v>
      </c>
      <c r="C16" s="206">
        <f t="shared" si="3"/>
        <v>0</v>
      </c>
      <c r="D16" s="207">
        <v>0</v>
      </c>
      <c r="E16" s="207">
        <v>0</v>
      </c>
      <c r="F16" s="207">
        <v>0</v>
      </c>
      <c r="G16" s="207">
        <v>0</v>
      </c>
      <c r="H16" s="207">
        <v>0</v>
      </c>
      <c r="I16" s="207">
        <v>0</v>
      </c>
      <c r="J16" s="207">
        <v>0</v>
      </c>
      <c r="K16" s="207">
        <v>0</v>
      </c>
      <c r="L16" s="207">
        <v>0</v>
      </c>
      <c r="M16" s="207">
        <v>0</v>
      </c>
      <c r="N16" s="207">
        <v>0</v>
      </c>
      <c r="O16" s="207">
        <v>0</v>
      </c>
      <c r="P16" s="207">
        <v>0</v>
      </c>
      <c r="Q16" s="207">
        <v>0</v>
      </c>
      <c r="R16" s="207">
        <v>0</v>
      </c>
      <c r="S16" s="201">
        <v>0</v>
      </c>
    </row>
    <row r="17" spans="1:22" x14ac:dyDescent="0.25">
      <c r="A17" s="22" t="s">
        <v>6</v>
      </c>
      <c r="B17" s="23" t="str">
        <f>A17</f>
        <v>Empleados</v>
      </c>
      <c r="C17" s="206">
        <f t="shared" si="3"/>
        <v>848640</v>
      </c>
      <c r="D17" s="207">
        <f>EconomiaT49!S17</f>
        <v>48960</v>
      </c>
      <c r="E17" s="207">
        <f>D17</f>
        <v>48960</v>
      </c>
      <c r="F17" s="207">
        <f t="shared" ref="F17:S17" si="11">E17</f>
        <v>48960</v>
      </c>
      <c r="G17" s="207">
        <f t="shared" si="11"/>
        <v>48960</v>
      </c>
      <c r="H17" s="207">
        <f t="shared" si="11"/>
        <v>48960</v>
      </c>
      <c r="I17" s="207">
        <f t="shared" si="11"/>
        <v>48960</v>
      </c>
      <c r="J17" s="207">
        <f t="shared" si="11"/>
        <v>48960</v>
      </c>
      <c r="K17" s="207">
        <f t="shared" si="11"/>
        <v>48960</v>
      </c>
      <c r="L17" s="207">
        <v>57120</v>
      </c>
      <c r="M17" s="207">
        <f t="shared" si="11"/>
        <v>57120</v>
      </c>
      <c r="N17" s="207">
        <f t="shared" si="11"/>
        <v>57120</v>
      </c>
      <c r="O17" s="207">
        <f t="shared" si="11"/>
        <v>57120</v>
      </c>
      <c r="P17" s="207">
        <f t="shared" si="11"/>
        <v>57120</v>
      </c>
      <c r="Q17" s="207">
        <f t="shared" si="11"/>
        <v>57120</v>
      </c>
      <c r="R17" s="207">
        <f t="shared" si="11"/>
        <v>57120</v>
      </c>
      <c r="S17" s="201">
        <f t="shared" si="11"/>
        <v>57120</v>
      </c>
    </row>
    <row r="18" spans="1:22" x14ac:dyDescent="0.25">
      <c r="A18" s="22" t="s">
        <v>8</v>
      </c>
      <c r="B18" s="23" t="str">
        <f>A18</f>
        <v>Juveniles</v>
      </c>
      <c r="C18" s="206">
        <f t="shared" si="3"/>
        <v>240000</v>
      </c>
      <c r="D18" s="207">
        <f>EconomiaT49!S18</f>
        <v>15000</v>
      </c>
      <c r="E18" s="207">
        <f>D18</f>
        <v>15000</v>
      </c>
      <c r="F18" s="207">
        <f t="shared" ref="F18:S18" si="12">E18</f>
        <v>15000</v>
      </c>
      <c r="G18" s="207">
        <f t="shared" si="12"/>
        <v>15000</v>
      </c>
      <c r="H18" s="207">
        <f t="shared" si="12"/>
        <v>15000</v>
      </c>
      <c r="I18" s="207">
        <f t="shared" si="12"/>
        <v>15000</v>
      </c>
      <c r="J18" s="207">
        <f t="shared" si="12"/>
        <v>15000</v>
      </c>
      <c r="K18" s="207">
        <f t="shared" si="12"/>
        <v>15000</v>
      </c>
      <c r="L18" s="207">
        <f t="shared" si="12"/>
        <v>15000</v>
      </c>
      <c r="M18" s="207">
        <f t="shared" si="12"/>
        <v>15000</v>
      </c>
      <c r="N18" s="207">
        <f t="shared" si="12"/>
        <v>15000</v>
      </c>
      <c r="O18" s="207">
        <f t="shared" si="12"/>
        <v>15000</v>
      </c>
      <c r="P18" s="207">
        <f t="shared" si="12"/>
        <v>15000</v>
      </c>
      <c r="Q18" s="207">
        <f t="shared" si="12"/>
        <v>15000</v>
      </c>
      <c r="R18" s="207">
        <f t="shared" si="12"/>
        <v>15000</v>
      </c>
      <c r="S18" s="201">
        <f t="shared" si="12"/>
        <v>15000</v>
      </c>
    </row>
    <row r="19" spans="1:22" x14ac:dyDescent="0.25">
      <c r="A19" s="22" t="s">
        <v>9</v>
      </c>
      <c r="B19" s="23" t="s">
        <v>50</v>
      </c>
      <c r="C19" s="206">
        <f t="shared" si="3"/>
        <v>9652697</v>
      </c>
      <c r="D19" s="207">
        <f>2015476+2966000+33420</f>
        <v>5014896</v>
      </c>
      <c r="E19" s="207">
        <v>0</v>
      </c>
      <c r="F19" s="207">
        <v>0</v>
      </c>
      <c r="G19" s="207">
        <v>0</v>
      </c>
      <c r="H19" s="207">
        <v>0</v>
      </c>
      <c r="I19" s="207">
        <v>0</v>
      </c>
      <c r="J19" s="207">
        <v>0</v>
      </c>
      <c r="K19" s="207">
        <v>0</v>
      </c>
      <c r="L19" s="207">
        <v>0</v>
      </c>
      <c r="M19" s="207">
        <v>0</v>
      </c>
      <c r="N19" s="207">
        <v>0</v>
      </c>
      <c r="O19" s="207">
        <v>0</v>
      </c>
      <c r="P19" s="207">
        <v>0</v>
      </c>
      <c r="Q19" s="207">
        <v>0</v>
      </c>
      <c r="R19" s="207">
        <v>0</v>
      </c>
      <c r="S19" s="201">
        <f>2781716+1833333+22752</f>
        <v>4637801</v>
      </c>
    </row>
    <row r="20" spans="1:22" x14ac:dyDescent="0.25">
      <c r="A20" s="763" t="s">
        <v>7</v>
      </c>
      <c r="B20" s="23" t="s">
        <v>11</v>
      </c>
      <c r="C20" s="206">
        <f t="shared" si="3"/>
        <v>0</v>
      </c>
      <c r="D20" s="207">
        <v>0</v>
      </c>
      <c r="E20" s="207">
        <v>0</v>
      </c>
      <c r="F20" s="207">
        <v>0</v>
      </c>
      <c r="G20" s="207">
        <v>0</v>
      </c>
      <c r="H20" s="207">
        <v>0</v>
      </c>
      <c r="I20" s="207">
        <v>0</v>
      </c>
      <c r="J20" s="207">
        <v>0</v>
      </c>
      <c r="K20" s="207">
        <v>0</v>
      </c>
      <c r="L20" s="207">
        <v>0</v>
      </c>
      <c r="M20" s="207">
        <v>0</v>
      </c>
      <c r="N20" s="207">
        <v>0</v>
      </c>
      <c r="O20" s="207">
        <v>0</v>
      </c>
      <c r="P20" s="207">
        <v>0</v>
      </c>
      <c r="Q20" s="207">
        <v>0</v>
      </c>
      <c r="R20" s="207">
        <v>0</v>
      </c>
      <c r="S20" s="201">
        <v>0</v>
      </c>
    </row>
    <row r="21" spans="1:22" x14ac:dyDescent="0.25">
      <c r="A21" s="764"/>
      <c r="B21" s="23" t="s">
        <v>818</v>
      </c>
      <c r="C21" s="206">
        <f t="shared" si="3"/>
        <v>34453</v>
      </c>
      <c r="D21" s="207">
        <v>6000</v>
      </c>
      <c r="E21" s="207">
        <v>3000</v>
      </c>
      <c r="F21" s="207">
        <v>2000</v>
      </c>
      <c r="G21" s="207">
        <v>0</v>
      </c>
      <c r="H21" s="207">
        <v>0</v>
      </c>
      <c r="I21" s="207">
        <v>3000</v>
      </c>
      <c r="J21" s="207">
        <v>3000</v>
      </c>
      <c r="K21" s="207">
        <v>0</v>
      </c>
      <c r="L21" s="207">
        <v>3000</v>
      </c>
      <c r="M21" s="207">
        <v>0</v>
      </c>
      <c r="N21" s="207">
        <v>2453</v>
      </c>
      <c r="O21" s="207"/>
      <c r="P21" s="207">
        <v>0</v>
      </c>
      <c r="Q21" s="207">
        <v>3000</v>
      </c>
      <c r="R21" s="207">
        <v>8000</v>
      </c>
      <c r="S21" s="542">
        <v>1000</v>
      </c>
    </row>
    <row r="22" spans="1:22" x14ac:dyDescent="0.25">
      <c r="A22" s="22" t="s">
        <v>10</v>
      </c>
      <c r="B22" s="23" t="str">
        <f>A22</f>
        <v>Intereses</v>
      </c>
      <c r="C22" s="206">
        <f t="shared" si="3"/>
        <v>0</v>
      </c>
      <c r="D22" s="207">
        <v>0</v>
      </c>
      <c r="E22" s="207">
        <v>0</v>
      </c>
      <c r="F22" s="207">
        <v>0</v>
      </c>
      <c r="G22" s="207">
        <v>0</v>
      </c>
      <c r="H22" s="207">
        <v>0</v>
      </c>
      <c r="I22" s="207">
        <v>0</v>
      </c>
      <c r="J22" s="207">
        <v>0</v>
      </c>
      <c r="K22" s="207">
        <v>0</v>
      </c>
      <c r="L22" s="207">
        <v>0</v>
      </c>
      <c r="M22" s="207">
        <v>0</v>
      </c>
      <c r="N22" s="207">
        <v>0</v>
      </c>
      <c r="O22" s="207">
        <v>0</v>
      </c>
      <c r="P22" s="207">
        <v>0</v>
      </c>
      <c r="Q22" s="207">
        <v>0</v>
      </c>
      <c r="R22" s="207">
        <v>0</v>
      </c>
      <c r="S22" s="201">
        <v>0</v>
      </c>
    </row>
    <row r="23" spans="1:22" s="31" customFormat="1" ht="18.75" x14ac:dyDescent="0.3">
      <c r="A23" s="25" t="s">
        <v>15</v>
      </c>
      <c r="B23" s="26"/>
      <c r="C23" s="209">
        <f t="shared" si="3"/>
        <v>17025376</v>
      </c>
      <c r="D23" s="210">
        <f t="shared" ref="D23:S23" si="13">SUM(D14:D22)</f>
        <v>5443589</v>
      </c>
      <c r="E23" s="210">
        <f t="shared" si="13"/>
        <v>474245</v>
      </c>
      <c r="F23" s="210">
        <f t="shared" si="13"/>
        <v>470377</v>
      </c>
      <c r="G23" s="210">
        <f t="shared" si="13"/>
        <v>469315</v>
      </c>
      <c r="H23" s="210">
        <f t="shared" si="13"/>
        <v>454391</v>
      </c>
      <c r="I23" s="210">
        <f t="shared" si="13"/>
        <v>452461</v>
      </c>
      <c r="J23" s="210">
        <f t="shared" si="13"/>
        <v>452461</v>
      </c>
      <c r="K23" s="210">
        <f t="shared" si="13"/>
        <v>449771</v>
      </c>
      <c r="L23" s="210">
        <f t="shared" si="13"/>
        <v>460621</v>
      </c>
      <c r="M23" s="210">
        <f t="shared" si="13"/>
        <v>466517</v>
      </c>
      <c r="N23" s="210">
        <f t="shared" si="13"/>
        <v>468970</v>
      </c>
      <c r="O23" s="210">
        <f t="shared" si="13"/>
        <v>466517</v>
      </c>
      <c r="P23" s="210">
        <f t="shared" si="13"/>
        <v>466517</v>
      </c>
      <c r="Q23" s="210">
        <f t="shared" si="13"/>
        <v>469517</v>
      </c>
      <c r="R23" s="210">
        <f t="shared" si="13"/>
        <v>472525</v>
      </c>
      <c r="S23" s="211">
        <f t="shared" si="13"/>
        <v>5087582</v>
      </c>
      <c r="U23" s="23" t="s">
        <v>1</v>
      </c>
      <c r="V23" s="220">
        <f>C14/$C$23</f>
        <v>0.32798112652548761</v>
      </c>
    </row>
    <row r="24" spans="1:22" s="7" customFormat="1" ht="18.75" x14ac:dyDescent="0.3">
      <c r="A24" s="9" t="s">
        <v>20</v>
      </c>
      <c r="B24" s="9"/>
      <c r="C24" s="197">
        <f>C5+C13-C23</f>
        <v>7149121.5889290832</v>
      </c>
      <c r="D24" s="197">
        <f t="shared" ref="D24:S24" si="14">D5+D13-D23</f>
        <v>743161.5889290832</v>
      </c>
      <c r="E24" s="197">
        <f t="shared" si="14"/>
        <v>709808.5889290832</v>
      </c>
      <c r="F24" s="197">
        <f t="shared" si="14"/>
        <v>758257.5889290832</v>
      </c>
      <c r="G24" s="197">
        <f t="shared" si="14"/>
        <v>1425589.5889290832</v>
      </c>
      <c r="H24" s="197">
        <f t="shared" si="14"/>
        <v>1571467.5889290832</v>
      </c>
      <c r="I24" s="197">
        <f t="shared" si="14"/>
        <v>1905357.5889290832</v>
      </c>
      <c r="J24" s="197">
        <f t="shared" si="14"/>
        <v>1698186.5889290832</v>
      </c>
      <c r="K24" s="197">
        <f t="shared" si="14"/>
        <v>2016303.5889290832</v>
      </c>
      <c r="L24" s="197">
        <f t="shared" si="14"/>
        <v>1965991.5889290832</v>
      </c>
      <c r="M24" s="197">
        <f t="shared" si="14"/>
        <v>2344123.5889290832</v>
      </c>
      <c r="N24" s="197">
        <f t="shared" si="14"/>
        <v>2234734.5889290832</v>
      </c>
      <c r="O24" s="197">
        <f t="shared" si="14"/>
        <v>2054665.5889290832</v>
      </c>
      <c r="P24" s="197">
        <f t="shared" si="14"/>
        <v>2594311.5889290832</v>
      </c>
      <c r="Q24" s="197">
        <f t="shared" si="14"/>
        <v>2750191.5889290832</v>
      </c>
      <c r="R24" s="197">
        <f t="shared" si="14"/>
        <v>4722584.5889290832</v>
      </c>
      <c r="S24" s="198">
        <f t="shared" si="14"/>
        <v>7149121.5889290832</v>
      </c>
      <c r="U24" s="23" t="s">
        <v>29</v>
      </c>
      <c r="V24" s="220">
        <f t="shared" ref="V24:V31" si="15">C15/$C$23</f>
        <v>3.9093644686613679E-2</v>
      </c>
    </row>
    <row r="25" spans="1:22" s="178" customFormat="1" x14ac:dyDescent="0.25">
      <c r="A25" s="182"/>
      <c r="B25" s="182"/>
      <c r="C25" s="182"/>
      <c r="D25" s="183">
        <f>D2+6</f>
        <v>42531</v>
      </c>
      <c r="E25" s="183">
        <f>D25+7</f>
        <v>42538</v>
      </c>
      <c r="F25" s="183">
        <f t="shared" ref="F25:S25" si="16">E25+7</f>
        <v>42545</v>
      </c>
      <c r="G25" s="183">
        <f t="shared" si="16"/>
        <v>42552</v>
      </c>
      <c r="H25" s="183">
        <f t="shared" si="16"/>
        <v>42559</v>
      </c>
      <c r="I25" s="183">
        <f t="shared" si="16"/>
        <v>42566</v>
      </c>
      <c r="J25" s="183">
        <f t="shared" si="16"/>
        <v>42573</v>
      </c>
      <c r="K25" s="183">
        <f t="shared" si="16"/>
        <v>42580</v>
      </c>
      <c r="L25" s="183">
        <f t="shared" si="16"/>
        <v>42587</v>
      </c>
      <c r="M25" s="183">
        <f t="shared" si="16"/>
        <v>42594</v>
      </c>
      <c r="N25" s="183">
        <f t="shared" si="16"/>
        <v>42601</v>
      </c>
      <c r="O25" s="183">
        <f t="shared" si="16"/>
        <v>42608</v>
      </c>
      <c r="P25" s="183">
        <f t="shared" si="16"/>
        <v>42615</v>
      </c>
      <c r="Q25" s="183">
        <f t="shared" si="16"/>
        <v>42622</v>
      </c>
      <c r="R25" s="183">
        <f t="shared" si="16"/>
        <v>42629</v>
      </c>
      <c r="S25" s="184">
        <f t="shared" si="16"/>
        <v>42636</v>
      </c>
      <c r="U25" s="23" t="s">
        <v>30</v>
      </c>
      <c r="V25" s="220">
        <f t="shared" si="15"/>
        <v>0</v>
      </c>
    </row>
    <row r="26" spans="1:22" s="178" customFormat="1" x14ac:dyDescent="0.25">
      <c r="A26" s="768" t="s">
        <v>721</v>
      </c>
      <c r="B26" s="768"/>
      <c r="C26" s="768"/>
      <c r="D26" s="559">
        <v>2004230</v>
      </c>
      <c r="E26" s="559">
        <v>1980420</v>
      </c>
      <c r="F26" s="559">
        <v>2039910</v>
      </c>
      <c r="G26" s="559">
        <v>2010770</v>
      </c>
      <c r="H26" s="559">
        <v>2039980</v>
      </c>
      <c r="I26" s="559">
        <v>2012340</v>
      </c>
      <c r="J26" s="559">
        <v>2032710</v>
      </c>
      <c r="K26" s="559">
        <v>1967490</v>
      </c>
      <c r="L26" s="559">
        <v>1937910</v>
      </c>
      <c r="M26" s="559"/>
      <c r="N26" s="559"/>
      <c r="O26" s="559"/>
      <c r="P26" s="559"/>
      <c r="Q26" s="559">
        <v>1985060</v>
      </c>
      <c r="R26" s="559">
        <v>2038750</v>
      </c>
      <c r="S26" s="559">
        <v>1882240</v>
      </c>
      <c r="T26" s="194"/>
      <c r="U26" s="23" t="s">
        <v>6</v>
      </c>
      <c r="V26" s="220">
        <f t="shared" si="15"/>
        <v>4.9845595186855197E-2</v>
      </c>
    </row>
    <row r="27" spans="1:22" s="178" customFormat="1" x14ac:dyDescent="0.25">
      <c r="A27" s="769" t="s">
        <v>1212</v>
      </c>
      <c r="B27" s="769"/>
      <c r="C27" s="769"/>
      <c r="D27" s="560">
        <v>369130</v>
      </c>
      <c r="E27" s="560">
        <v>364402</v>
      </c>
      <c r="F27" s="560">
        <v>363828</v>
      </c>
      <c r="G27" s="560">
        <v>350356</v>
      </c>
      <c r="H27" s="560">
        <v>343600</v>
      </c>
      <c r="I27" s="560">
        <v>344360</v>
      </c>
      <c r="J27" s="560">
        <v>343590</v>
      </c>
      <c r="K27" s="560">
        <v>343590</v>
      </c>
      <c r="L27" s="560">
        <v>343960</v>
      </c>
      <c r="M27" s="560"/>
      <c r="N27" s="560"/>
      <c r="O27" s="560"/>
      <c r="P27" s="560"/>
      <c r="Q27" s="560">
        <v>350844</v>
      </c>
      <c r="R27" s="560">
        <v>350494</v>
      </c>
      <c r="S27" s="560">
        <v>330480</v>
      </c>
      <c r="T27" s="195"/>
      <c r="U27" s="23" t="s">
        <v>8</v>
      </c>
      <c r="V27" s="220">
        <f t="shared" si="15"/>
        <v>1.4096604973658144E-2</v>
      </c>
    </row>
    <row r="28" spans="1:22" x14ac:dyDescent="0.25">
      <c r="A28" s="770" t="s">
        <v>1985</v>
      </c>
      <c r="B28" s="770"/>
      <c r="C28" s="770"/>
      <c r="D28" s="561">
        <v>1678650</v>
      </c>
      <c r="E28" s="561">
        <v>1659990</v>
      </c>
      <c r="F28" s="561">
        <v>1743510</v>
      </c>
      <c r="G28" s="561">
        <v>1770880</v>
      </c>
      <c r="H28" s="561">
        <v>1792910</v>
      </c>
      <c r="I28" s="561">
        <v>1779810</v>
      </c>
      <c r="J28" s="561">
        <v>1799240</v>
      </c>
      <c r="K28" s="561">
        <v>1734410</v>
      </c>
      <c r="L28" s="561">
        <v>1716470</v>
      </c>
      <c r="M28" s="561"/>
      <c r="N28" s="561"/>
      <c r="O28" s="561"/>
      <c r="P28" s="561"/>
      <c r="Q28" s="561">
        <v>1750520</v>
      </c>
      <c r="R28" s="561">
        <v>1821740</v>
      </c>
      <c r="S28" s="561">
        <v>1781730</v>
      </c>
      <c r="T28" s="192"/>
      <c r="U28" s="23" t="s">
        <v>50</v>
      </c>
      <c r="V28" s="220">
        <f t="shared" si="15"/>
        <v>0.56695940224756269</v>
      </c>
    </row>
    <row r="29" spans="1:22" x14ac:dyDescent="0.25">
      <c r="A29" s="768" t="s">
        <v>1986</v>
      </c>
      <c r="B29" s="768"/>
      <c r="C29" s="768"/>
      <c r="D29" s="562">
        <v>286364</v>
      </c>
      <c r="E29" s="562">
        <v>277376</v>
      </c>
      <c r="F29" s="562">
        <v>278746</v>
      </c>
      <c r="G29" s="562">
        <v>287626</v>
      </c>
      <c r="H29" s="562">
        <v>282754</v>
      </c>
      <c r="I29" s="562">
        <v>282754</v>
      </c>
      <c r="J29" s="562">
        <v>282754</v>
      </c>
      <c r="K29" s="562">
        <v>282754</v>
      </c>
      <c r="L29" s="562">
        <v>272754</v>
      </c>
      <c r="M29" s="562"/>
      <c r="N29" s="562"/>
      <c r="O29" s="562"/>
      <c r="P29" s="562"/>
      <c r="Q29" s="562">
        <v>291640</v>
      </c>
      <c r="R29" s="562">
        <v>291640</v>
      </c>
      <c r="S29" s="562">
        <v>298266</v>
      </c>
      <c r="T29" s="192"/>
      <c r="U29" s="23" t="s">
        <v>11</v>
      </c>
      <c r="V29" s="220">
        <f t="shared" si="15"/>
        <v>0</v>
      </c>
    </row>
    <row r="30" spans="1:22" s="6" customFormat="1" x14ac:dyDescent="0.25">
      <c r="A30" s="769" t="s">
        <v>1987</v>
      </c>
      <c r="B30" s="769"/>
      <c r="C30" s="769"/>
      <c r="D30" s="563">
        <v>5.75</v>
      </c>
      <c r="E30" s="563">
        <v>5.75</v>
      </c>
      <c r="F30" s="563">
        <v>6.25</v>
      </c>
      <c r="G30" s="563">
        <v>6.25</v>
      </c>
      <c r="H30" s="563">
        <v>6.25</v>
      </c>
      <c r="I30" s="563">
        <v>6.25</v>
      </c>
      <c r="J30" s="563">
        <v>6.25</v>
      </c>
      <c r="K30" s="563">
        <v>6</v>
      </c>
      <c r="L30" s="563">
        <v>5.75</v>
      </c>
      <c r="M30" s="563"/>
      <c r="N30" s="563"/>
      <c r="O30" s="563"/>
      <c r="P30" s="563"/>
      <c r="Q30" s="563">
        <v>6</v>
      </c>
      <c r="R30" s="563">
        <v>6.25</v>
      </c>
      <c r="S30" s="563">
        <v>6</v>
      </c>
      <c r="U30" s="23" t="s">
        <v>818</v>
      </c>
      <c r="V30" s="220">
        <f t="shared" si="15"/>
        <v>2.0236263798226834E-3</v>
      </c>
    </row>
    <row r="31" spans="1:22" s="6" customFormat="1" x14ac:dyDescent="0.25">
      <c r="A31" s="770" t="s">
        <v>1988</v>
      </c>
      <c r="B31" s="770"/>
      <c r="C31" s="770"/>
      <c r="D31" s="564">
        <v>6.75</v>
      </c>
      <c r="E31" s="564">
        <v>6.75</v>
      </c>
      <c r="F31" s="564">
        <v>6.75</v>
      </c>
      <c r="G31" s="564">
        <v>6.75</v>
      </c>
      <c r="H31" s="564">
        <v>6.75</v>
      </c>
      <c r="I31" s="564">
        <v>6.75</v>
      </c>
      <c r="J31" s="564">
        <v>6.75</v>
      </c>
      <c r="K31" s="564">
        <v>6.75</v>
      </c>
      <c r="L31" s="564">
        <v>6.75</v>
      </c>
      <c r="M31" s="564"/>
      <c r="N31" s="564"/>
      <c r="O31" s="564"/>
      <c r="P31" s="564"/>
      <c r="Q31" s="564">
        <v>6.5</v>
      </c>
      <c r="R31" s="564">
        <v>6.5</v>
      </c>
      <c r="S31" s="564">
        <v>6.5</v>
      </c>
      <c r="U31" s="23" t="s">
        <v>10</v>
      </c>
      <c r="V31" s="220">
        <f t="shared" si="15"/>
        <v>0</v>
      </c>
    </row>
    <row r="32" spans="1:22" s="6" customFormat="1" x14ac:dyDescent="0.25">
      <c r="A32" s="768" t="s">
        <v>1989</v>
      </c>
      <c r="B32" s="768"/>
      <c r="C32" s="768"/>
      <c r="D32" s="562" t="s">
        <v>2568</v>
      </c>
      <c r="E32" s="562" t="s">
        <v>2569</v>
      </c>
      <c r="F32" s="562" t="s">
        <v>2570</v>
      </c>
      <c r="G32" s="562" t="s">
        <v>2571</v>
      </c>
      <c r="H32" s="562" t="s">
        <v>2572</v>
      </c>
      <c r="I32" s="562" t="s">
        <v>2570</v>
      </c>
      <c r="J32" s="562" t="s">
        <v>2574</v>
      </c>
      <c r="K32" s="562" t="s">
        <v>2578</v>
      </c>
      <c r="L32" s="562" t="s">
        <v>2579</v>
      </c>
      <c r="M32" s="562"/>
      <c r="N32" s="562"/>
      <c r="O32" s="562"/>
      <c r="P32" s="562"/>
      <c r="Q32" s="562" t="s">
        <v>2581</v>
      </c>
      <c r="R32" s="562" t="s">
        <v>2583</v>
      </c>
      <c r="S32" s="562" t="s">
        <v>2585</v>
      </c>
    </row>
    <row r="33" spans="1:22" s="6" customFormat="1" x14ac:dyDescent="0.25">
      <c r="A33" s="769" t="s">
        <v>1990</v>
      </c>
      <c r="B33" s="769"/>
      <c r="C33" s="769"/>
      <c r="D33" s="563">
        <v>7.25</v>
      </c>
      <c r="E33" s="563">
        <v>7.25</v>
      </c>
      <c r="F33" s="563">
        <v>7.25</v>
      </c>
      <c r="G33" s="563">
        <v>7</v>
      </c>
      <c r="H33" s="563">
        <v>7</v>
      </c>
      <c r="I33" s="563">
        <v>7</v>
      </c>
      <c r="J33" s="563">
        <v>7</v>
      </c>
      <c r="K33" s="563">
        <v>7</v>
      </c>
      <c r="L33" s="563">
        <v>7</v>
      </c>
      <c r="M33" s="563"/>
      <c r="N33" s="563"/>
      <c r="O33" s="563"/>
      <c r="P33" s="563"/>
      <c r="Q33" s="563">
        <v>7.25</v>
      </c>
      <c r="R33" s="563">
        <v>7.25</v>
      </c>
      <c r="S33" s="563">
        <v>7.75</v>
      </c>
    </row>
    <row r="34" spans="1:22" s="6" customFormat="1" ht="18.75" x14ac:dyDescent="0.3">
      <c r="A34" s="192"/>
      <c r="B34" s="192"/>
      <c r="C34" s="192"/>
      <c r="D34" s="192"/>
      <c r="E34" s="192"/>
      <c r="F34" s="192"/>
      <c r="G34" s="192"/>
      <c r="H34" s="192"/>
      <c r="I34" s="192"/>
      <c r="J34" s="192"/>
      <c r="K34" s="192"/>
      <c r="L34" s="192"/>
      <c r="M34" s="192"/>
      <c r="N34" s="192"/>
      <c r="O34" s="192"/>
      <c r="P34" s="192"/>
      <c r="Q34" s="192"/>
      <c r="R34" s="192"/>
      <c r="S34" s="192"/>
      <c r="V34" s="221">
        <f>SUM(V23:V31)</f>
        <v>1.0000000000000002</v>
      </c>
    </row>
    <row r="35" spans="1:22" s="6" customFormat="1" ht="18.75" x14ac:dyDescent="0.3">
      <c r="A35" s="27"/>
      <c r="B35" s="752" t="s">
        <v>821</v>
      </c>
      <c r="C35" s="167" t="s">
        <v>819</v>
      </c>
      <c r="D35" s="189">
        <f>'A-P_T50'!$C$14</f>
        <v>13519230</v>
      </c>
      <c r="E35" s="189">
        <f>'A-P_T50'!$C$14</f>
        <v>13519230</v>
      </c>
      <c r="F35" s="189">
        <f>'A-P_T50'!$C$14</f>
        <v>13519230</v>
      </c>
      <c r="G35" s="189">
        <f>'A-P_T50'!$C$14</f>
        <v>13519230</v>
      </c>
      <c r="H35" s="189">
        <f>'A-P_T50'!$C$14</f>
        <v>13519230</v>
      </c>
      <c r="I35" s="189">
        <f>'A-P_T50'!$C$14</f>
        <v>13519230</v>
      </c>
      <c r="J35" s="189">
        <f>'A-P_T50'!$C$14</f>
        <v>13519230</v>
      </c>
      <c r="K35" s="189">
        <f>'A-P_T50'!$C$14</f>
        <v>13519230</v>
      </c>
      <c r="L35" s="189">
        <f>'A-P_T50'!$C$14</f>
        <v>13519230</v>
      </c>
      <c r="M35" s="189">
        <f>'A-P_T50'!$C$14</f>
        <v>13519230</v>
      </c>
      <c r="N35" s="189">
        <f>'A-P_T50'!$C$14</f>
        <v>13519230</v>
      </c>
      <c r="O35" s="189">
        <f>'A-P_T50'!$C$14</f>
        <v>13519230</v>
      </c>
      <c r="P35" s="189">
        <f>'A-P_T50'!$C$14</f>
        <v>13519230</v>
      </c>
      <c r="Q35" s="189">
        <f>'A-P_T50'!$C$14</f>
        <v>13519230</v>
      </c>
      <c r="R35" s="189">
        <f>'A-P_T50'!$C$14</f>
        <v>13519230</v>
      </c>
      <c r="S35" s="189">
        <f>'A-P_T50'!$C$14</f>
        <v>13519230</v>
      </c>
      <c r="U35" s="746">
        <f>C23</f>
        <v>17025376</v>
      </c>
      <c r="V35" s="747"/>
    </row>
    <row r="36" spans="1:22" x14ac:dyDescent="0.25">
      <c r="A36" s="27"/>
      <c r="B36" s="753"/>
      <c r="C36" s="167" t="s">
        <v>481</v>
      </c>
      <c r="D36" s="189">
        <f>'A-P_T50'!$C$13</f>
        <v>21121509</v>
      </c>
      <c r="E36" s="189">
        <f>'A-P_T50'!$C$13</f>
        <v>21121509</v>
      </c>
      <c r="F36" s="189">
        <f>'A-P_T50'!$C$13</f>
        <v>21121509</v>
      </c>
      <c r="G36" s="189">
        <f>'A-P_T50'!$C$13</f>
        <v>21121509</v>
      </c>
      <c r="H36" s="189">
        <f>'A-P_T50'!$C$13</f>
        <v>21121509</v>
      </c>
      <c r="I36" s="189">
        <f>'A-P_T50'!$C$13</f>
        <v>21121509</v>
      </c>
      <c r="J36" s="189">
        <f>'A-P_T50'!$C$13</f>
        <v>21121509</v>
      </c>
      <c r="K36" s="189">
        <f>'A-P_T50'!$C$13</f>
        <v>21121509</v>
      </c>
      <c r="L36" s="189">
        <f>'A-P_T50'!$C$13</f>
        <v>21121509</v>
      </c>
      <c r="M36" s="189">
        <f>'A-P_T50'!$C$13</f>
        <v>21121509</v>
      </c>
      <c r="N36" s="189">
        <f>'A-P_T50'!$C$13</f>
        <v>21121509</v>
      </c>
      <c r="O36" s="189">
        <f>'A-P_T50'!$C$13</f>
        <v>21121509</v>
      </c>
      <c r="P36" s="189">
        <f>'A-P_T50'!$C$13</f>
        <v>21121509</v>
      </c>
      <c r="Q36" s="189">
        <f>'A-P_T50'!$C$13</f>
        <v>21121509</v>
      </c>
      <c r="R36" s="189">
        <f>'A-P_T50'!$C$13</f>
        <v>21121509</v>
      </c>
      <c r="S36" s="189">
        <f>'A-P_T50'!$C$13</f>
        <v>21121509</v>
      </c>
    </row>
    <row r="37" spans="1:22" x14ac:dyDescent="0.25">
      <c r="A37" s="27"/>
      <c r="B37" s="753"/>
      <c r="C37" s="167" t="s">
        <v>1385</v>
      </c>
      <c r="D37" s="189">
        <f>'A-P_T50'!$C$12+'A-P_T50'!$C$15</f>
        <v>0</v>
      </c>
      <c r="E37" s="189">
        <f>'A-P_T50'!$C$12+'A-P_T50'!$C$15</f>
        <v>0</v>
      </c>
      <c r="F37" s="189">
        <f>'A-P_T50'!$C$12+'A-P_T50'!$C$15</f>
        <v>0</v>
      </c>
      <c r="G37" s="189">
        <f>'A-P_T50'!$C$12+'A-P_T50'!$C$15</f>
        <v>0</v>
      </c>
      <c r="H37" s="189">
        <f>'A-P_T50'!$C$12+'A-P_T50'!$C$15</f>
        <v>0</v>
      </c>
      <c r="I37" s="189">
        <f>'A-P_T50'!$C$12+'A-P_T50'!$C$15</f>
        <v>0</v>
      </c>
      <c r="J37" s="189">
        <f>'A-P_T50'!$C$12+'A-P_T50'!$C$15</f>
        <v>0</v>
      </c>
      <c r="K37" s="189">
        <f>'A-P_T50'!$C$12+'A-P_T50'!$C$15</f>
        <v>0</v>
      </c>
      <c r="L37" s="189">
        <f>'A-P_T50'!$C$12+'A-P_T50'!$C$15</f>
        <v>0</v>
      </c>
      <c r="M37" s="189">
        <f>'A-P_T50'!$C$12+'A-P_T50'!$C$15</f>
        <v>0</v>
      </c>
      <c r="N37" s="189">
        <f>'A-P_T50'!$C$12+'A-P_T50'!$C$15</f>
        <v>0</v>
      </c>
      <c r="O37" s="189">
        <f>'A-P_T50'!$C$12+'A-P_T50'!$C$15</f>
        <v>0</v>
      </c>
      <c r="P37" s="189">
        <f>'A-P_T50'!$C$12+'A-P_T50'!$C$15</f>
        <v>0</v>
      </c>
      <c r="Q37" s="189">
        <f>'A-P_T50'!$C$12+'A-P_T50'!$C$15</f>
        <v>0</v>
      </c>
      <c r="R37" s="189">
        <f>'A-P_T50'!$C$12+'A-P_T50'!$C$15</f>
        <v>0</v>
      </c>
      <c r="S37" s="189">
        <f>'A-P_T50'!$C$12+'A-P_T50'!$C$15</f>
        <v>0</v>
      </c>
    </row>
    <row r="38" spans="1:22" x14ac:dyDescent="0.25">
      <c r="A38" s="27"/>
      <c r="B38" s="754"/>
      <c r="C38" s="299" t="s">
        <v>291</v>
      </c>
      <c r="D38" s="300">
        <f t="shared" ref="D38:R38" si="17">D37+D36+D35</f>
        <v>34640739</v>
      </c>
      <c r="E38" s="300">
        <f t="shared" si="17"/>
        <v>34640739</v>
      </c>
      <c r="F38" s="300">
        <f t="shared" si="17"/>
        <v>34640739</v>
      </c>
      <c r="G38" s="300">
        <f t="shared" si="17"/>
        <v>34640739</v>
      </c>
      <c r="H38" s="300">
        <f t="shared" si="17"/>
        <v>34640739</v>
      </c>
      <c r="I38" s="300">
        <f t="shared" si="17"/>
        <v>34640739</v>
      </c>
      <c r="J38" s="300">
        <f t="shared" si="17"/>
        <v>34640739</v>
      </c>
      <c r="K38" s="300">
        <f t="shared" si="17"/>
        <v>34640739</v>
      </c>
      <c r="L38" s="300">
        <f t="shared" si="17"/>
        <v>34640739</v>
      </c>
      <c r="M38" s="300">
        <f t="shared" si="17"/>
        <v>34640739</v>
      </c>
      <c r="N38" s="300">
        <f t="shared" si="17"/>
        <v>34640739</v>
      </c>
      <c r="O38" s="300">
        <f t="shared" si="17"/>
        <v>34640739</v>
      </c>
      <c r="P38" s="300">
        <f t="shared" si="17"/>
        <v>34640739</v>
      </c>
      <c r="Q38" s="300">
        <f t="shared" si="17"/>
        <v>34640739</v>
      </c>
      <c r="R38" s="300">
        <f t="shared" si="17"/>
        <v>34640739</v>
      </c>
      <c r="S38" s="300">
        <f t="shared" ref="S38" si="18">S37+S36+S35</f>
        <v>34640739</v>
      </c>
    </row>
    <row r="39" spans="1:22" x14ac:dyDescent="0.25">
      <c r="C39" s="192"/>
      <c r="D39" s="247"/>
      <c r="E39"/>
      <c r="F39" s="247"/>
      <c r="G39" s="247"/>
      <c r="H39" s="247"/>
      <c r="J39"/>
      <c r="K39"/>
      <c r="L39"/>
    </row>
    <row r="40" spans="1:22" x14ac:dyDescent="0.25">
      <c r="H40" s="695"/>
      <c r="I40" s="695"/>
      <c r="J40" s="695"/>
      <c r="K40" s="695"/>
      <c r="M40" s="632"/>
    </row>
    <row r="41" spans="1:22" x14ac:dyDescent="0.25">
      <c r="H41" s="478"/>
      <c r="I41" s="478"/>
      <c r="J41" s="695"/>
      <c r="K41" s="695"/>
    </row>
    <row r="42" spans="1:22" x14ac:dyDescent="0.25">
      <c r="D42" s="225">
        <f>EconomiaT51!D7-EconomiaT50!D7</f>
        <v>18500</v>
      </c>
      <c r="F42" s="696"/>
      <c r="G42" s="696"/>
      <c r="H42" s="696"/>
      <c r="I42" s="696"/>
      <c r="J42" s="696"/>
      <c r="K42" s="696"/>
      <c r="L42" s="696"/>
      <c r="M42" s="696"/>
      <c r="N42" s="696"/>
      <c r="O42" s="696"/>
      <c r="P42" s="696"/>
      <c r="Q42" s="696"/>
      <c r="R42" s="696"/>
      <c r="S42" s="696"/>
    </row>
    <row r="43" spans="1:22" x14ac:dyDescent="0.25">
      <c r="D43">
        <f>D42/D7</f>
        <v>0.19082985197792562</v>
      </c>
      <c r="H43" s="695"/>
      <c r="I43" s="695"/>
      <c r="J43" s="695"/>
      <c r="K43" s="695"/>
    </row>
    <row r="44" spans="1:22" x14ac:dyDescent="0.25">
      <c r="E44" s="316">
        <f>E7*(1+D43)</f>
        <v>134831.70999020064</v>
      </c>
      <c r="F44" s="316">
        <f t="shared" ref="F44:K44" si="19">F7*(1+E43)</f>
        <v>122845</v>
      </c>
      <c r="G44" s="316">
        <f t="shared" si="19"/>
        <v>128025</v>
      </c>
      <c r="H44" s="316">
        <f t="shared" si="19"/>
        <v>130985</v>
      </c>
      <c r="I44" s="316">
        <f t="shared" si="19"/>
        <v>132650</v>
      </c>
      <c r="J44" s="316">
        <f t="shared" si="19"/>
        <v>133575</v>
      </c>
      <c r="K44" s="316">
        <f t="shared" si="19"/>
        <v>134315</v>
      </c>
      <c r="L44" s="478"/>
      <c r="M44" s="478"/>
      <c r="N44" s="478"/>
      <c r="O44" s="478"/>
      <c r="P44" s="478"/>
      <c r="Q44" s="478"/>
      <c r="R44" s="478"/>
      <c r="S44" s="478"/>
    </row>
    <row r="45" spans="1:22" x14ac:dyDescent="0.25">
      <c r="H45" s="727"/>
      <c r="I45" s="727"/>
      <c r="J45" s="727"/>
      <c r="K45" s="727"/>
    </row>
    <row r="46" spans="1:22" x14ac:dyDescent="0.25">
      <c r="H46" s="695"/>
      <c r="I46" s="695"/>
      <c r="J46" s="695"/>
      <c r="K46" s="695"/>
    </row>
    <row r="47" spans="1:22" x14ac:dyDescent="0.25">
      <c r="H47" s="727"/>
      <c r="I47" s="727"/>
      <c r="J47" s="727"/>
      <c r="K47" s="727"/>
    </row>
    <row r="48" spans="1:22" ht="15" customHeight="1" x14ac:dyDescent="0.25">
      <c r="H48" s="727"/>
      <c r="I48" s="727"/>
      <c r="J48" s="727"/>
      <c r="K48" s="4"/>
    </row>
  </sheetData>
  <mergeCells count="16">
    <mergeCell ref="A28:C28"/>
    <mergeCell ref="A11:A12"/>
    <mergeCell ref="U14:V14"/>
    <mergeCell ref="A20:A21"/>
    <mergeCell ref="A26:C26"/>
    <mergeCell ref="A27:C27"/>
    <mergeCell ref="U35:V35"/>
    <mergeCell ref="H45:K45"/>
    <mergeCell ref="H47:K47"/>
    <mergeCell ref="H48:J48"/>
    <mergeCell ref="A29:C29"/>
    <mergeCell ref="A30:C30"/>
    <mergeCell ref="A31:C31"/>
    <mergeCell ref="A32:C32"/>
    <mergeCell ref="A33:C33"/>
    <mergeCell ref="B35:B38"/>
  </mergeCells>
  <pageMargins left="0.7" right="0.7" top="0.75" bottom="0.75" header="0.3" footer="0.3"/>
  <pageSetup paperSize="9" orientation="portrait" horizontalDpi="200" verticalDpi="200" r:id="rId1"/>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V74"/>
  <sheetViews>
    <sheetView zoomScale="90" zoomScaleNormal="90" workbookViewId="0">
      <pane xSplit="9" ySplit="3" topLeftCell="J13" activePane="bottomRight" state="frozen"/>
      <selection pane="topRight" activeCell="J1" sqref="J1"/>
      <selection pane="bottomLeft" activeCell="A3" sqref="A3"/>
      <selection pane="bottomRight" activeCell="I28" sqref="I28:T28"/>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21" bestFit="1" customWidth="1"/>
    <col min="6" max="6" width="18" style="225" bestFit="1" customWidth="1"/>
    <col min="7" max="7" width="7.7109375" style="225" bestFit="1" customWidth="1"/>
    <col min="8" max="8" width="2.85546875" customWidth="1"/>
    <col min="9" max="9" width="7.7109375" style="5" bestFit="1" customWidth="1"/>
    <col min="10" max="10" width="18" style="6" bestFit="1" customWidth="1"/>
    <col min="11" max="11" width="14.42578125" style="5" bestFit="1" customWidth="1"/>
    <col min="12" max="12" width="10" style="5" bestFit="1" customWidth="1"/>
    <col min="13" max="13" width="12.7109375" style="5" bestFit="1" customWidth="1"/>
    <col min="14" max="14" width="12.140625" style="5" bestFit="1" customWidth="1"/>
    <col min="15" max="15" width="12.7109375" style="5" bestFit="1" customWidth="1"/>
    <col min="16" max="16" width="12.85546875" style="5" bestFit="1" customWidth="1"/>
    <col min="17" max="17" width="8.5703125" style="502" bestFit="1" customWidth="1"/>
    <col min="18" max="18" width="9.140625" style="5" bestFit="1" customWidth="1"/>
    <col min="19" max="19" width="10.140625" style="5" bestFit="1" customWidth="1"/>
    <col min="20" max="20" width="7.7109375" bestFit="1" customWidth="1"/>
    <col min="21" max="22" width="12.7109375" bestFit="1" customWidth="1"/>
  </cols>
  <sheetData>
    <row r="1" spans="2:22" ht="9" customHeight="1" x14ac:dyDescent="0.25">
      <c r="I1"/>
      <c r="J1" s="2"/>
      <c r="K1"/>
      <c r="L1"/>
      <c r="M1"/>
      <c r="N1"/>
      <c r="O1"/>
      <c r="P1"/>
      <c r="Q1" s="321"/>
      <c r="R1"/>
      <c r="S1"/>
    </row>
    <row r="2" spans="2:22" ht="21" x14ac:dyDescent="0.35">
      <c r="B2" s="735" t="s">
        <v>2548</v>
      </c>
      <c r="C2" s="736"/>
      <c r="D2" s="736"/>
      <c r="E2" s="736"/>
      <c r="F2" s="736"/>
      <c r="G2" s="757"/>
      <c r="I2" s="765" t="s">
        <v>2549</v>
      </c>
      <c r="J2" s="766"/>
      <c r="K2" s="766"/>
      <c r="L2" s="766"/>
      <c r="M2" s="766"/>
      <c r="N2" s="766"/>
      <c r="O2" s="766"/>
      <c r="P2" s="766"/>
      <c r="Q2" s="766"/>
      <c r="R2" s="766"/>
      <c r="S2" s="767"/>
    </row>
    <row r="3" spans="2:22" x14ac:dyDescent="0.25">
      <c r="B3" s="755" t="s">
        <v>1025</v>
      </c>
      <c r="C3" s="749"/>
      <c r="D3" s="749"/>
      <c r="E3" s="749"/>
      <c r="F3" s="749"/>
      <c r="G3" s="756"/>
      <c r="I3" s="346" t="s">
        <v>36</v>
      </c>
      <c r="J3" s="17" t="s">
        <v>481</v>
      </c>
      <c r="K3" s="17" t="s">
        <v>50</v>
      </c>
      <c r="L3" s="17" t="s">
        <v>1332</v>
      </c>
      <c r="M3" s="17" t="s">
        <v>879</v>
      </c>
      <c r="N3" s="17" t="s">
        <v>1333</v>
      </c>
      <c r="O3" s="17" t="s">
        <v>950</v>
      </c>
      <c r="P3" s="17" t="s">
        <v>1336</v>
      </c>
      <c r="Q3" s="406" t="s">
        <v>1326</v>
      </c>
      <c r="R3" s="345" t="s">
        <v>1337</v>
      </c>
      <c r="S3" s="345" t="s">
        <v>1334</v>
      </c>
      <c r="T3" s="345" t="s">
        <v>1920</v>
      </c>
    </row>
    <row r="4" spans="2:22" ht="18.75" x14ac:dyDescent="0.3">
      <c r="B4" s="759" t="s">
        <v>948</v>
      </c>
      <c r="C4" s="760"/>
      <c r="D4" s="268"/>
      <c r="E4" s="761" t="s">
        <v>949</v>
      </c>
      <c r="F4" s="762"/>
      <c r="G4" s="268"/>
      <c r="I4" s="187" t="s">
        <v>1006</v>
      </c>
      <c r="J4" s="336" t="s">
        <v>2363</v>
      </c>
      <c r="K4" s="333">
        <v>4285170</v>
      </c>
      <c r="L4" s="333">
        <v>0</v>
      </c>
      <c r="M4" s="333">
        <v>0</v>
      </c>
      <c r="N4" s="333">
        <v>0</v>
      </c>
      <c r="O4" s="343">
        <f t="shared" ref="O4:O23" si="0">IF(M4=0,0,M4-K4)-N4</f>
        <v>0</v>
      </c>
      <c r="P4" s="333">
        <f t="shared" ref="P4:P23" si="1">IF(M4=0,K4,0)</f>
        <v>4285170</v>
      </c>
      <c r="Q4" s="403"/>
      <c r="R4" s="347">
        <v>42200</v>
      </c>
      <c r="S4" s="347"/>
      <c r="T4" s="247" t="s">
        <v>2492</v>
      </c>
      <c r="U4" s="247"/>
      <c r="V4" s="247"/>
    </row>
    <row r="5" spans="2:22" x14ac:dyDescent="0.25">
      <c r="B5" s="243"/>
      <c r="C5" s="244"/>
      <c r="D5" s="423"/>
      <c r="E5" s="243"/>
      <c r="F5" s="244"/>
      <c r="G5" s="269"/>
      <c r="I5" s="187" t="s">
        <v>1004</v>
      </c>
      <c r="J5" s="336" t="s">
        <v>2409</v>
      </c>
      <c r="K5" s="333">
        <v>2568848</v>
      </c>
      <c r="L5" s="333">
        <v>0</v>
      </c>
      <c r="M5" s="333">
        <v>0</v>
      </c>
      <c r="N5" s="333">
        <v>0</v>
      </c>
      <c r="O5" s="343">
        <f t="shared" si="0"/>
        <v>0</v>
      </c>
      <c r="P5" s="333">
        <f t="shared" si="1"/>
        <v>2568848</v>
      </c>
      <c r="Q5" s="403"/>
      <c r="R5" s="347">
        <v>42278</v>
      </c>
      <c r="S5" s="347"/>
      <c r="T5" s="247" t="s">
        <v>2492</v>
      </c>
      <c r="U5" s="247"/>
      <c r="V5" s="622"/>
    </row>
    <row r="6" spans="2:22" x14ac:dyDescent="0.25">
      <c r="B6" s="226" t="s">
        <v>951</v>
      </c>
      <c r="C6" s="242">
        <f>SUM(C7:C9)</f>
        <v>4571395</v>
      </c>
      <c r="D6" s="304">
        <f>C6/C30</f>
        <v>7.2119229014188949E-2</v>
      </c>
      <c r="E6" s="226" t="s">
        <v>1329</v>
      </c>
      <c r="F6" s="242">
        <f>F7+F8+F9</f>
        <v>43257864.949943811</v>
      </c>
      <c r="G6" s="271">
        <f>F6/$F$30</f>
        <v>0.68244460415729913</v>
      </c>
      <c r="I6" s="187" t="s">
        <v>1006</v>
      </c>
      <c r="J6" s="336" t="s">
        <v>2356</v>
      </c>
      <c r="K6" s="333">
        <v>240010</v>
      </c>
      <c r="L6" s="333">
        <v>0</v>
      </c>
      <c r="M6" s="333">
        <v>0</v>
      </c>
      <c r="N6" s="333">
        <v>0</v>
      </c>
      <c r="O6" s="343">
        <f t="shared" si="0"/>
        <v>0</v>
      </c>
      <c r="P6" s="333">
        <f t="shared" si="1"/>
        <v>240010</v>
      </c>
      <c r="Q6" s="403"/>
      <c r="R6" s="347">
        <v>42200</v>
      </c>
      <c r="S6" s="347"/>
      <c r="T6" s="247" t="s">
        <v>2492</v>
      </c>
      <c r="U6" s="247"/>
      <c r="V6" s="622"/>
    </row>
    <row r="7" spans="2:22" ht="15" customHeight="1" x14ac:dyDescent="0.25">
      <c r="B7" s="249" t="s">
        <v>30</v>
      </c>
      <c r="C7" s="250">
        <f>'A-P_T49'!C7+EconomiaT50!C16</f>
        <v>3392395</v>
      </c>
      <c r="D7" s="424">
        <f>C7/C30</f>
        <v>5.3519092511495836E-2</v>
      </c>
      <c r="E7" s="425" t="s">
        <v>1029</v>
      </c>
      <c r="F7" s="237">
        <v>300000</v>
      </c>
      <c r="G7" s="272">
        <f>F7/$F$30</f>
        <v>4.7328591340349002E-3</v>
      </c>
      <c r="I7" s="187" t="s">
        <v>1006</v>
      </c>
      <c r="J7" s="336" t="s">
        <v>2373</v>
      </c>
      <c r="K7" s="333">
        <v>1348</v>
      </c>
      <c r="L7" s="333">
        <v>0</v>
      </c>
      <c r="M7" s="333">
        <v>0</v>
      </c>
      <c r="N7" s="333">
        <v>0</v>
      </c>
      <c r="O7" s="343">
        <f t="shared" si="0"/>
        <v>0</v>
      </c>
      <c r="P7" s="333">
        <f t="shared" si="1"/>
        <v>1348</v>
      </c>
      <c r="Q7" s="403"/>
      <c r="R7" s="347">
        <v>42205</v>
      </c>
      <c r="S7" s="347"/>
      <c r="T7" s="247" t="s">
        <v>2492</v>
      </c>
      <c r="U7" s="247"/>
      <c r="V7" s="30"/>
    </row>
    <row r="8" spans="2:22" x14ac:dyDescent="0.25">
      <c r="B8" s="249" t="s">
        <v>11</v>
      </c>
      <c r="C8" s="250">
        <f>'A-P_T49'!C8+EconomiaT50!C20</f>
        <v>1179000</v>
      </c>
      <c r="D8" s="424">
        <f>C8/C30</f>
        <v>1.8600136502693109E-2</v>
      </c>
      <c r="E8" s="425" t="s">
        <v>1602</v>
      </c>
      <c r="F8" s="237">
        <f>'A-P_T49'!F9+'A-P_T49'!F8</f>
        <v>38469104.949943811</v>
      </c>
      <c r="G8" s="272">
        <f>F8/$F$30</f>
        <v>0.60689618246829591</v>
      </c>
      <c r="I8" s="187" t="s">
        <v>1004</v>
      </c>
      <c r="J8" s="336" t="s">
        <v>2407</v>
      </c>
      <c r="K8" s="333">
        <v>2675604</v>
      </c>
      <c r="L8" s="333">
        <v>0</v>
      </c>
      <c r="M8" s="333">
        <v>0</v>
      </c>
      <c r="N8" s="333">
        <v>0</v>
      </c>
      <c r="O8" s="343">
        <f t="shared" si="0"/>
        <v>0</v>
      </c>
      <c r="P8" s="333">
        <f t="shared" si="1"/>
        <v>2675604</v>
      </c>
      <c r="Q8" s="403"/>
      <c r="R8" s="347">
        <v>42267</v>
      </c>
      <c r="S8" s="347"/>
      <c r="T8" s="247" t="s">
        <v>2492</v>
      </c>
      <c r="U8" s="247"/>
      <c r="V8" s="622"/>
    </row>
    <row r="9" spans="2:22" ht="15" customHeight="1" x14ac:dyDescent="0.25">
      <c r="B9" s="245" t="s">
        <v>1026</v>
      </c>
      <c r="C9" s="248">
        <v>0</v>
      </c>
      <c r="D9" s="424">
        <f>C9/C30</f>
        <v>0</v>
      </c>
      <c r="E9" s="425" t="s">
        <v>2550</v>
      </c>
      <c r="F9" s="237">
        <f>'A-P_T49'!F11+10450</f>
        <v>4488760</v>
      </c>
      <c r="G9" s="272">
        <f>F9/$F$30</f>
        <v>7.0815562554968334E-2</v>
      </c>
      <c r="I9" s="187" t="s">
        <v>1006</v>
      </c>
      <c r="J9" s="336" t="s">
        <v>2024</v>
      </c>
      <c r="K9" s="333">
        <v>3329940</v>
      </c>
      <c r="L9" s="333">
        <v>0</v>
      </c>
      <c r="M9" s="333">
        <v>0</v>
      </c>
      <c r="N9" s="333">
        <v>0</v>
      </c>
      <c r="O9" s="343">
        <f t="shared" si="0"/>
        <v>0</v>
      </c>
      <c r="P9" s="333">
        <f t="shared" si="1"/>
        <v>3329940</v>
      </c>
      <c r="Q9" s="403"/>
      <c r="R9" s="347">
        <v>41992</v>
      </c>
      <c r="S9" s="347"/>
      <c r="T9" s="247" t="s">
        <v>2492</v>
      </c>
      <c r="U9" s="247"/>
      <c r="V9" s="378"/>
    </row>
    <row r="10" spans="2:22" ht="15" customHeight="1" x14ac:dyDescent="0.25">
      <c r="B10" s="228"/>
      <c r="C10" s="227"/>
      <c r="D10" s="304"/>
      <c r="E10" s="426"/>
      <c r="F10" s="227"/>
      <c r="G10" s="271"/>
      <c r="I10" s="187" t="s">
        <v>1006</v>
      </c>
      <c r="J10" s="336" t="s">
        <v>2080</v>
      </c>
      <c r="K10" s="333">
        <v>2359404</v>
      </c>
      <c r="L10" s="333">
        <v>0</v>
      </c>
      <c r="M10" s="333">
        <v>0</v>
      </c>
      <c r="N10" s="333">
        <v>0</v>
      </c>
      <c r="O10" s="343">
        <f t="shared" si="0"/>
        <v>0</v>
      </c>
      <c r="P10" s="333">
        <f t="shared" si="1"/>
        <v>2359404</v>
      </c>
      <c r="Q10" s="403"/>
      <c r="R10" s="347">
        <v>42110</v>
      </c>
      <c r="S10" s="347"/>
      <c r="T10" s="247" t="s">
        <v>2492</v>
      </c>
      <c r="U10" s="247"/>
      <c r="V10" s="572"/>
    </row>
    <row r="11" spans="2:22" x14ac:dyDescent="0.25">
      <c r="B11" s="226" t="s">
        <v>481</v>
      </c>
      <c r="C11" s="242">
        <f>SUM(C12:C15)</f>
        <v>34640739</v>
      </c>
      <c r="D11" s="304">
        <f>C11/C30</f>
        <v>0.54649912973211601</v>
      </c>
      <c r="E11" s="226" t="s">
        <v>1677</v>
      </c>
      <c r="F11" s="242">
        <f>SUM(F12:F17)</f>
        <v>3216755</v>
      </c>
      <c r="G11" s="271">
        <f t="shared" ref="G11:G17" si="2">F11/$F$30</f>
        <v>5.0748160945674782E-2</v>
      </c>
      <c r="I11" s="187" t="s">
        <v>1004</v>
      </c>
      <c r="J11" s="336" t="s">
        <v>2420</v>
      </c>
      <c r="K11" s="333">
        <v>2883810</v>
      </c>
      <c r="L11" s="333">
        <v>0</v>
      </c>
      <c r="M11" s="333">
        <v>0</v>
      </c>
      <c r="N11" s="333">
        <v>0</v>
      </c>
      <c r="O11" s="343">
        <f t="shared" si="0"/>
        <v>0</v>
      </c>
      <c r="P11" s="333">
        <f t="shared" si="1"/>
        <v>2883810</v>
      </c>
      <c r="Q11" s="403"/>
      <c r="R11" s="347">
        <v>42297</v>
      </c>
      <c r="S11" s="347"/>
      <c r="T11" s="247" t="s">
        <v>2492</v>
      </c>
      <c r="U11" s="247"/>
      <c r="V11" s="622"/>
    </row>
    <row r="12" spans="2:22" x14ac:dyDescent="0.25">
      <c r="B12" s="231" t="s">
        <v>1381</v>
      </c>
      <c r="C12" s="232">
        <f>SUMIF(I4:I503,"S",$P$4:$P$503)</f>
        <v>0</v>
      </c>
      <c r="D12" s="424">
        <f>C12/C30</f>
        <v>0</v>
      </c>
      <c r="E12" s="339" t="s">
        <v>1194</v>
      </c>
      <c r="F12" s="340">
        <f>SUMIF(I4:I503,"J",$O$4:$O$503)</f>
        <v>-842169</v>
      </c>
      <c r="G12" s="272">
        <f t="shared" si="2"/>
        <v>-1.3286224146836792E-2</v>
      </c>
      <c r="I12" s="334" t="s">
        <v>1004</v>
      </c>
      <c r="J12" s="337" t="s">
        <v>2426</v>
      </c>
      <c r="K12" s="335">
        <v>2376230</v>
      </c>
      <c r="L12" s="335">
        <v>0</v>
      </c>
      <c r="M12" s="335">
        <v>4441000</v>
      </c>
      <c r="N12" s="335">
        <f>M12-4130130</f>
        <v>310870</v>
      </c>
      <c r="O12" s="335">
        <f t="shared" si="0"/>
        <v>1753900</v>
      </c>
      <c r="P12" s="335">
        <f t="shared" si="1"/>
        <v>0</v>
      </c>
      <c r="Q12" s="411">
        <f t="shared" ref="Q12:Q14" si="3">O12/K12</f>
        <v>0.73810195141042745</v>
      </c>
      <c r="R12" s="348">
        <v>42306</v>
      </c>
      <c r="S12" s="348">
        <v>42632</v>
      </c>
      <c r="T12" s="694" t="s">
        <v>2492</v>
      </c>
      <c r="U12" s="247"/>
      <c r="V12" s="622"/>
    </row>
    <row r="13" spans="2:22" ht="15" customHeight="1" x14ac:dyDescent="0.25">
      <c r="B13" s="231" t="s">
        <v>481</v>
      </c>
      <c r="C13" s="232">
        <f>SUMIF(I4:I503,"J",$P$4:$P$503)</f>
        <v>21121509</v>
      </c>
      <c r="D13" s="424">
        <f>C13/C30</f>
        <v>0.33321709121531895</v>
      </c>
      <c r="E13" s="339" t="s">
        <v>1382</v>
      </c>
      <c r="F13" s="340">
        <f>SUMIF(I4:I503,"S",$O$4:$O$503)</f>
        <v>0</v>
      </c>
      <c r="G13" s="272">
        <f t="shared" si="2"/>
        <v>0</v>
      </c>
      <c r="I13" s="408" t="s">
        <v>1006</v>
      </c>
      <c r="J13" s="409" t="s">
        <v>2493</v>
      </c>
      <c r="K13" s="410">
        <v>815308</v>
      </c>
      <c r="L13" s="410">
        <v>0</v>
      </c>
      <c r="M13" s="410">
        <v>650000</v>
      </c>
      <c r="N13" s="410">
        <f>M13-604500</f>
        <v>45500</v>
      </c>
      <c r="O13" s="410">
        <f t="shared" si="0"/>
        <v>-210808</v>
      </c>
      <c r="P13" s="410">
        <f t="shared" si="1"/>
        <v>0</v>
      </c>
      <c r="Q13" s="411">
        <f t="shared" si="3"/>
        <v>-0.25856240831685695</v>
      </c>
      <c r="R13" s="412">
        <v>42322</v>
      </c>
      <c r="S13" s="412">
        <v>42631</v>
      </c>
      <c r="T13" s="699" t="s">
        <v>2492</v>
      </c>
      <c r="U13" s="247"/>
      <c r="V13" s="247"/>
    </row>
    <row r="14" spans="2:22" x14ac:dyDescent="0.25">
      <c r="B14" s="231" t="s">
        <v>819</v>
      </c>
      <c r="C14" s="232">
        <f>SUMIF(I4:I503,"E",$P$4:$P$503)</f>
        <v>13519230</v>
      </c>
      <c r="D14" s="424">
        <f>C14/C30</f>
        <v>0.21328203851679708</v>
      </c>
      <c r="E14" s="339" t="s">
        <v>1195</v>
      </c>
      <c r="F14" s="340">
        <f>SUMIF(I4:I503,"C",$O$4:$O$503)</f>
        <v>526563</v>
      </c>
      <c r="G14" s="272">
        <f t="shared" si="2"/>
        <v>8.3071616806493966E-3</v>
      </c>
      <c r="I14" s="334" t="s">
        <v>1006</v>
      </c>
      <c r="J14" s="337" t="s">
        <v>2507</v>
      </c>
      <c r="K14" s="335">
        <v>718610</v>
      </c>
      <c r="L14" s="335">
        <v>0</v>
      </c>
      <c r="M14" s="335">
        <v>970020</v>
      </c>
      <c r="N14" s="335">
        <f>M14-902119</f>
        <v>67901</v>
      </c>
      <c r="O14" s="335">
        <f t="shared" si="0"/>
        <v>183509</v>
      </c>
      <c r="P14" s="335">
        <f t="shared" si="1"/>
        <v>0</v>
      </c>
      <c r="Q14" s="405">
        <f t="shared" si="3"/>
        <v>0.25536661053979209</v>
      </c>
      <c r="R14" s="348">
        <v>42386</v>
      </c>
      <c r="S14" s="348">
        <v>42546</v>
      </c>
      <c r="T14" s="694" t="s">
        <v>2492</v>
      </c>
      <c r="U14" s="247"/>
      <c r="V14" s="247"/>
    </row>
    <row r="15" spans="2:22" x14ac:dyDescent="0.25">
      <c r="B15" s="231" t="s">
        <v>997</v>
      </c>
      <c r="C15" s="232">
        <f>SUMIF(I4:I503,"M",$P$4:$P$503)</f>
        <v>0</v>
      </c>
      <c r="D15" s="424">
        <f>C15/C30</f>
        <v>0</v>
      </c>
      <c r="E15" s="339" t="s">
        <v>1196</v>
      </c>
      <c r="F15" s="340">
        <f>SUMIF(I4:I503,"E",$O$4:$O$503)</f>
        <v>1753900</v>
      </c>
      <c r="G15" s="272">
        <f t="shared" si="2"/>
        <v>2.7669872117279372E-2</v>
      </c>
      <c r="I15" s="187" t="s">
        <v>1006</v>
      </c>
      <c r="J15" s="336" t="s">
        <v>2518</v>
      </c>
      <c r="K15" s="333">
        <v>1972556</v>
      </c>
      <c r="L15" s="333">
        <v>0</v>
      </c>
      <c r="M15" s="333">
        <v>0</v>
      </c>
      <c r="N15" s="333">
        <v>0</v>
      </c>
      <c r="O15" s="343">
        <f t="shared" si="0"/>
        <v>0</v>
      </c>
      <c r="P15" s="333">
        <f t="shared" si="1"/>
        <v>1972556</v>
      </c>
      <c r="Q15" s="403"/>
      <c r="R15" s="347">
        <v>42411</v>
      </c>
      <c r="S15" s="347"/>
      <c r="T15" s="247" t="s">
        <v>2492</v>
      </c>
      <c r="U15" s="247"/>
      <c r="V15" s="247"/>
    </row>
    <row r="16" spans="2:22" ht="15" customHeight="1" x14ac:dyDescent="0.25">
      <c r="B16" s="235"/>
      <c r="C16" s="236"/>
      <c r="D16" s="304"/>
      <c r="E16" s="339" t="s">
        <v>1197</v>
      </c>
      <c r="F16" s="340">
        <f>SUMIF(I4:I503,"M",$O$4:$O$503)</f>
        <v>-46223</v>
      </c>
      <c r="G16" s="272">
        <f t="shared" si="2"/>
        <v>-7.2922315917498394E-4</v>
      </c>
      <c r="I16" s="187" t="s">
        <v>1004</v>
      </c>
      <c r="J16" s="336" t="s">
        <v>2519</v>
      </c>
      <c r="K16" s="333">
        <v>2424968</v>
      </c>
      <c r="L16" s="333">
        <v>0</v>
      </c>
      <c r="M16" s="333">
        <v>0</v>
      </c>
      <c r="N16" s="333">
        <v>0</v>
      </c>
      <c r="O16" s="343">
        <f t="shared" si="0"/>
        <v>0</v>
      </c>
      <c r="P16" s="333">
        <f t="shared" si="1"/>
        <v>2424968</v>
      </c>
      <c r="Q16" s="403"/>
      <c r="R16" s="347">
        <v>42411</v>
      </c>
      <c r="S16" s="347"/>
      <c r="T16" s="247" t="s">
        <v>2492</v>
      </c>
      <c r="U16" s="247"/>
      <c r="V16" s="247"/>
    </row>
    <row r="17" spans="2:22" x14ac:dyDescent="0.25">
      <c r="B17" s="226" t="s">
        <v>48</v>
      </c>
      <c r="C17" s="260">
        <f>C18+C19</f>
        <v>9325553</v>
      </c>
      <c r="D17" s="304">
        <f>C17/C30</f>
        <v>0.14712176315784498</v>
      </c>
      <c r="E17" s="341" t="s">
        <v>2416</v>
      </c>
      <c r="F17" s="342">
        <f>C23-F23-C9</f>
        <v>1824684</v>
      </c>
      <c r="G17" s="272">
        <f t="shared" si="2"/>
        <v>2.8786574453757794E-2</v>
      </c>
      <c r="I17" s="187" t="s">
        <v>1006</v>
      </c>
      <c r="J17" s="336" t="s">
        <v>2532</v>
      </c>
      <c r="K17" s="333">
        <f>2700000+34164</f>
        <v>2734164</v>
      </c>
      <c r="L17" s="333">
        <v>0</v>
      </c>
      <c r="M17" s="333">
        <v>0</v>
      </c>
      <c r="N17" s="333">
        <v>0</v>
      </c>
      <c r="O17" s="343">
        <f t="shared" si="0"/>
        <v>0</v>
      </c>
      <c r="P17" s="333">
        <f t="shared" si="1"/>
        <v>2734164</v>
      </c>
      <c r="Q17" s="403"/>
      <c r="R17" s="347">
        <v>42455</v>
      </c>
      <c r="S17" s="347"/>
      <c r="T17" s="247" t="s">
        <v>2492</v>
      </c>
      <c r="U17" s="247"/>
      <c r="V17" s="247"/>
    </row>
    <row r="18" spans="2:22" ht="15" customHeight="1" x14ac:dyDescent="0.25">
      <c r="B18" s="231" t="s">
        <v>48</v>
      </c>
      <c r="C18" s="232">
        <f>SUM(M4:M503)</f>
        <v>10039296</v>
      </c>
      <c r="D18" s="424">
        <f>C18/C30</f>
        <v>0.1583819134783214</v>
      </c>
      <c r="E18" s="228"/>
      <c r="F18" s="227"/>
      <c r="G18" s="270"/>
      <c r="I18" s="334" t="s">
        <v>1006</v>
      </c>
      <c r="J18" s="337" t="s">
        <v>2535</v>
      </c>
      <c r="K18" s="335">
        <f>1600000+18120</f>
        <v>1618120</v>
      </c>
      <c r="L18" s="335">
        <v>0</v>
      </c>
      <c r="M18" s="335">
        <v>1403000</v>
      </c>
      <c r="N18" s="335">
        <f>M18-1304790</f>
        <v>98210</v>
      </c>
      <c r="O18" s="335">
        <f t="shared" si="0"/>
        <v>-313330</v>
      </c>
      <c r="P18" s="335">
        <f t="shared" si="1"/>
        <v>0</v>
      </c>
      <c r="Q18" s="405">
        <f t="shared" ref="Q18:Q22" si="4">O18/K18</f>
        <v>-0.19363829629446519</v>
      </c>
      <c r="R18" s="348">
        <v>42480</v>
      </c>
      <c r="S18" s="348">
        <v>42628</v>
      </c>
      <c r="T18" s="694" t="s">
        <v>2492</v>
      </c>
      <c r="U18" s="247"/>
      <c r="V18" s="247"/>
    </row>
    <row r="19" spans="2:22" ht="15" customHeight="1" x14ac:dyDescent="0.25">
      <c r="B19" s="245" t="s">
        <v>5</v>
      </c>
      <c r="C19" s="248">
        <f>SUM(N4:N503)*-1</f>
        <v>-713743</v>
      </c>
      <c r="D19" s="424">
        <f>C19/C30</f>
        <v>-1.1260150320476409E-2</v>
      </c>
      <c r="E19" s="226" t="s">
        <v>1034</v>
      </c>
      <c r="F19" s="260">
        <f>F20+F21</f>
        <v>9539333</v>
      </c>
      <c r="G19" s="271">
        <f>F19/$F$30</f>
        <v>0.15049439773883516</v>
      </c>
      <c r="I19" s="187" t="s">
        <v>1006</v>
      </c>
      <c r="J19" s="336" t="s">
        <v>2536</v>
      </c>
      <c r="K19" s="333">
        <f>1602420+13164</f>
        <v>1615584</v>
      </c>
      <c r="L19" s="333">
        <v>0</v>
      </c>
      <c r="M19" s="333">
        <v>0</v>
      </c>
      <c r="N19" s="333">
        <v>0</v>
      </c>
      <c r="O19" s="343">
        <f t="shared" si="0"/>
        <v>0</v>
      </c>
      <c r="P19" s="333">
        <f t="shared" si="1"/>
        <v>1615584</v>
      </c>
      <c r="Q19" s="403"/>
      <c r="R19" s="347">
        <v>42480</v>
      </c>
      <c r="S19" s="347"/>
      <c r="T19" s="247" t="s">
        <v>2492</v>
      </c>
      <c r="U19" s="247"/>
      <c r="V19" s="247"/>
    </row>
    <row r="20" spans="2:22" ht="15" customHeight="1" x14ac:dyDescent="0.25">
      <c r="B20" s="235"/>
      <c r="C20" s="236"/>
      <c r="D20" s="424"/>
      <c r="E20" s="307" t="s">
        <v>50</v>
      </c>
      <c r="F20" s="427">
        <f>EconomiaT50!C19</f>
        <v>9652697</v>
      </c>
      <c r="G20" s="272">
        <f>F20/$F$30</f>
        <v>0.15228285054840426</v>
      </c>
      <c r="I20" s="334" t="s">
        <v>1006</v>
      </c>
      <c r="J20" s="337" t="s">
        <v>2541</v>
      </c>
      <c r="K20" s="335">
        <f>214200+1716</f>
        <v>215916</v>
      </c>
      <c r="L20" s="335">
        <v>0</v>
      </c>
      <c r="M20" s="335">
        <v>287000</v>
      </c>
      <c r="N20" s="335">
        <f>M20-252646</f>
        <v>34354</v>
      </c>
      <c r="O20" s="335">
        <f t="shared" si="0"/>
        <v>36730</v>
      </c>
      <c r="P20" s="335">
        <f t="shared" si="1"/>
        <v>0</v>
      </c>
      <c r="Q20" s="405">
        <f t="shared" si="4"/>
        <v>0.17011245113840567</v>
      </c>
      <c r="R20" s="348">
        <v>42503</v>
      </c>
      <c r="S20" s="348">
        <v>42525</v>
      </c>
      <c r="T20" s="694" t="s">
        <v>2492</v>
      </c>
      <c r="V20" s="247"/>
    </row>
    <row r="21" spans="2:22" ht="15" customHeight="1" x14ac:dyDescent="0.25">
      <c r="B21" s="226" t="s">
        <v>1036</v>
      </c>
      <c r="C21" s="242">
        <f>EconomiaT50!C5</f>
        <v>5651581.5889290832</v>
      </c>
      <c r="D21" s="304">
        <f>C21/C30</f>
        <v>8.9160465657496316E-2</v>
      </c>
      <c r="E21" s="245" t="s">
        <v>1140</v>
      </c>
      <c r="F21" s="238">
        <f>SUM(L4:L503)*-1</f>
        <v>-113364</v>
      </c>
      <c r="G21" s="272">
        <f>F21/$F$30</f>
        <v>-1.788452809569108E-3</v>
      </c>
      <c r="I21" s="334" t="s">
        <v>1005</v>
      </c>
      <c r="J21" s="337" t="s">
        <v>2544</v>
      </c>
      <c r="K21" s="335">
        <f>71250+804</f>
        <v>72054</v>
      </c>
      <c r="L21" s="335">
        <v>0</v>
      </c>
      <c r="M21" s="335">
        <v>35000</v>
      </c>
      <c r="N21" s="335">
        <f>M21-31017</f>
        <v>3983</v>
      </c>
      <c r="O21" s="335">
        <f t="shared" si="0"/>
        <v>-41037</v>
      </c>
      <c r="P21" s="335">
        <f t="shared" si="1"/>
        <v>0</v>
      </c>
      <c r="Q21" s="405">
        <f t="shared" si="4"/>
        <v>-0.56953118494462485</v>
      </c>
      <c r="R21" s="348">
        <v>42503</v>
      </c>
      <c r="S21" s="348">
        <v>42535</v>
      </c>
      <c r="T21" s="694" t="s">
        <v>2492</v>
      </c>
      <c r="V21" s="247"/>
    </row>
    <row r="22" spans="2:22" ht="15" customHeight="1" x14ac:dyDescent="0.25">
      <c r="B22" s="226"/>
      <c r="C22" s="242"/>
      <c r="D22" s="304"/>
      <c r="E22" s="235"/>
      <c r="F22" s="636"/>
      <c r="G22" s="637"/>
      <c r="I22" s="334" t="s">
        <v>1005</v>
      </c>
      <c r="J22" s="337" t="s">
        <v>2545</v>
      </c>
      <c r="K22" s="335">
        <f>60180+1140</f>
        <v>61320</v>
      </c>
      <c r="L22" s="335">
        <v>0</v>
      </c>
      <c r="M22" s="335">
        <v>53000</v>
      </c>
      <c r="N22" s="335">
        <f>M22-46969</f>
        <v>6031</v>
      </c>
      <c r="O22" s="335">
        <f t="shared" si="0"/>
        <v>-14351</v>
      </c>
      <c r="P22" s="335">
        <f t="shared" si="1"/>
        <v>0</v>
      </c>
      <c r="Q22" s="405">
        <f t="shared" si="4"/>
        <v>-0.23403457273320288</v>
      </c>
      <c r="R22" s="348">
        <v>42503</v>
      </c>
      <c r="S22" s="348">
        <v>42535</v>
      </c>
      <c r="T22" s="247" t="s">
        <v>2492</v>
      </c>
      <c r="V22" s="247"/>
    </row>
    <row r="23" spans="2:22" x14ac:dyDescent="0.25">
      <c r="B23" s="226" t="s">
        <v>1328</v>
      </c>
      <c r="C23" s="242">
        <f>SUM(C24:C28)</f>
        <v>9197363</v>
      </c>
      <c r="D23" s="304">
        <f>C23/C30</f>
        <v>0.1450994124383537</v>
      </c>
      <c r="E23" s="226" t="s">
        <v>1601</v>
      </c>
      <c r="F23" s="242">
        <f>SUM(F24:F29)</f>
        <v>7372679</v>
      </c>
      <c r="G23" s="271">
        <f t="shared" ref="G23:G29" si="5">F23/$F$30</f>
        <v>0.11631283715819098</v>
      </c>
      <c r="I23" s="334" t="s">
        <v>1005</v>
      </c>
      <c r="J23" s="337" t="s">
        <v>2546</v>
      </c>
      <c r="K23" s="335">
        <f>65000+924</f>
        <v>65924</v>
      </c>
      <c r="L23" s="335">
        <v>0</v>
      </c>
      <c r="M23" s="335">
        <v>85000</v>
      </c>
      <c r="N23" s="335">
        <f>M23-75089</f>
        <v>9911</v>
      </c>
      <c r="O23" s="335">
        <f t="shared" si="0"/>
        <v>9165</v>
      </c>
      <c r="P23" s="335">
        <f t="shared" si="1"/>
        <v>0</v>
      </c>
      <c r="Q23" s="405">
        <f t="shared" ref="Q23:Q24" si="6">O23/K23</f>
        <v>0.13902372428857473</v>
      </c>
      <c r="R23" s="348">
        <v>42503</v>
      </c>
      <c r="S23" s="348">
        <v>42532</v>
      </c>
      <c r="T23" s="247" t="s">
        <v>2492</v>
      </c>
      <c r="U23" s="247"/>
      <c r="V23" s="247"/>
    </row>
    <row r="24" spans="2:22" x14ac:dyDescent="0.25">
      <c r="B24" s="233" t="s">
        <v>42</v>
      </c>
      <c r="C24" s="234">
        <f>EconomiaT50!C11</f>
        <v>80252</v>
      </c>
      <c r="D24" s="424">
        <f>C24/C30</f>
        <v>1.2660713779593955E-3</v>
      </c>
      <c r="E24" s="307" t="s">
        <v>882</v>
      </c>
      <c r="F24" s="428">
        <f>EconomiaT50!C14</f>
        <v>5584002</v>
      </c>
      <c r="G24" s="272">
        <f t="shared" si="5"/>
        <v>8.8094316233897171E-2</v>
      </c>
      <c r="I24" s="334" t="s">
        <v>1006</v>
      </c>
      <c r="J24" s="337" t="s">
        <v>2551</v>
      </c>
      <c r="K24" s="335">
        <v>1990000</v>
      </c>
      <c r="L24" s="335">
        <v>25476</v>
      </c>
      <c r="M24" s="335">
        <v>1561000</v>
      </c>
      <c r="N24" s="335">
        <f>M24-1451730</f>
        <v>109270</v>
      </c>
      <c r="O24" s="335">
        <f t="shared" ref="O24:O26" si="7">IF(M24=0,0,M24-K24)-N24</f>
        <v>-538270</v>
      </c>
      <c r="P24" s="335">
        <f t="shared" ref="P24:P26" si="8">IF(M24=0,K24,0)</f>
        <v>0</v>
      </c>
      <c r="Q24" s="405">
        <f t="shared" si="6"/>
        <v>-0.27048743718592966</v>
      </c>
      <c r="R24" s="348">
        <v>42525</v>
      </c>
      <c r="S24" s="348">
        <v>42634</v>
      </c>
      <c r="T24" s="247" t="s">
        <v>2492</v>
      </c>
      <c r="V24" s="247"/>
    </row>
    <row r="25" spans="2:22" x14ac:dyDescent="0.25">
      <c r="B25" s="233" t="s">
        <v>51</v>
      </c>
      <c r="C25" s="234">
        <f>EconomiaT50!C12</f>
        <v>1060000</v>
      </c>
      <c r="D25" s="424">
        <f>C25/C30</f>
        <v>1.6722769035500167E-2</v>
      </c>
      <c r="E25" s="307" t="s">
        <v>29</v>
      </c>
      <c r="F25" s="428">
        <f>EconomiaT50!C15</f>
        <v>665584</v>
      </c>
      <c r="G25" s="272">
        <f t="shared" si="5"/>
        <v>1.0500384379558284E-2</v>
      </c>
      <c r="I25" s="334" t="s">
        <v>1003</v>
      </c>
      <c r="J25" s="337" t="s">
        <v>2566</v>
      </c>
      <c r="K25" s="335">
        <v>0</v>
      </c>
      <c r="L25" s="335">
        <v>0</v>
      </c>
      <c r="M25" s="335">
        <v>123026</v>
      </c>
      <c r="N25" s="335">
        <f>M25-116875</f>
        <v>6151</v>
      </c>
      <c r="O25" s="335">
        <f t="shared" si="7"/>
        <v>116875</v>
      </c>
      <c r="P25" s="335">
        <f t="shared" si="8"/>
        <v>0</v>
      </c>
      <c r="Q25" s="405" t="s">
        <v>1327</v>
      </c>
      <c r="R25" s="348">
        <v>42525</v>
      </c>
      <c r="S25" s="348">
        <v>42528</v>
      </c>
      <c r="T25" s="508">
        <f>(S25-R25)/112</f>
        <v>2.6785714285714284E-2</v>
      </c>
      <c r="U25" s="509"/>
      <c r="V25" s="247"/>
    </row>
    <row r="26" spans="2:22" x14ac:dyDescent="0.25">
      <c r="B26" s="233" t="s">
        <v>0</v>
      </c>
      <c r="C26" s="234">
        <f>EconomiaT50!C6</f>
        <v>5373287</v>
      </c>
      <c r="D26" s="424">
        <f>C26/C30</f>
        <v>8.4770035341939221E-2</v>
      </c>
      <c r="E26" s="307" t="s">
        <v>6</v>
      </c>
      <c r="F26" s="428">
        <f>EconomiaT50!C17</f>
        <v>848640</v>
      </c>
      <c r="G26" s="272">
        <f t="shared" si="5"/>
        <v>1.3388311918357926E-2</v>
      </c>
      <c r="I26" s="187" t="s">
        <v>1004</v>
      </c>
      <c r="J26" s="336" t="s">
        <v>2567</v>
      </c>
      <c r="K26" s="333">
        <v>2966000</v>
      </c>
      <c r="L26" s="333">
        <v>33420</v>
      </c>
      <c r="M26" s="333">
        <v>0</v>
      </c>
      <c r="N26" s="333">
        <v>0</v>
      </c>
      <c r="O26" s="343">
        <f t="shared" si="7"/>
        <v>0</v>
      </c>
      <c r="P26" s="333">
        <f t="shared" si="8"/>
        <v>2966000</v>
      </c>
      <c r="Q26" s="403"/>
      <c r="R26" s="347">
        <v>42527</v>
      </c>
      <c r="S26" s="347"/>
      <c r="T26" s="247" t="s">
        <v>2492</v>
      </c>
      <c r="U26" s="509"/>
      <c r="V26" s="247"/>
    </row>
    <row r="27" spans="2:22" ht="15" customHeight="1" x14ac:dyDescent="0.25">
      <c r="B27" s="233" t="s">
        <v>2</v>
      </c>
      <c r="C27" s="234">
        <f>EconomiaT50!C7</f>
        <v>2074115</v>
      </c>
      <c r="D27" s="424">
        <f>C27/C30</f>
        <v>3.272164726232682E-2</v>
      </c>
      <c r="E27" s="307" t="s">
        <v>8</v>
      </c>
      <c r="F27" s="428">
        <f>EconomiaT50!C18</f>
        <v>240000</v>
      </c>
      <c r="G27" s="272">
        <f t="shared" si="5"/>
        <v>3.7862873072279203E-3</v>
      </c>
      <c r="I27" s="334" t="s">
        <v>1003</v>
      </c>
      <c r="J27" s="337" t="s">
        <v>2573</v>
      </c>
      <c r="K27" s="335">
        <v>0</v>
      </c>
      <c r="L27" s="335">
        <v>0</v>
      </c>
      <c r="M27" s="335">
        <v>2250</v>
      </c>
      <c r="N27" s="335">
        <f>M27-2138</f>
        <v>112</v>
      </c>
      <c r="O27" s="335">
        <f t="shared" ref="O27" si="9">IF(M27=0,0,M27-K27)-N27</f>
        <v>2138</v>
      </c>
      <c r="P27" s="335">
        <f t="shared" ref="P27" si="10">IF(M27=0,K27,0)</f>
        <v>0</v>
      </c>
      <c r="Q27" s="405" t="s">
        <v>1327</v>
      </c>
      <c r="R27" s="348">
        <v>42565</v>
      </c>
      <c r="S27" s="348">
        <v>42568</v>
      </c>
      <c r="T27" s="508">
        <f>(S27-R27)/112</f>
        <v>2.6785714285714284E-2</v>
      </c>
      <c r="U27" s="509"/>
    </row>
    <row r="28" spans="2:22" ht="15" customHeight="1" x14ac:dyDescent="0.25">
      <c r="B28" s="233" t="s">
        <v>5</v>
      </c>
      <c r="C28" s="234">
        <f>EconomiaT50!C10</f>
        <v>609709</v>
      </c>
      <c r="D28" s="424">
        <f>C28/C30</f>
        <v>9.6188894206280847E-3</v>
      </c>
      <c r="E28" s="307" t="s">
        <v>818</v>
      </c>
      <c r="F28" s="428">
        <f>EconomiaT50!C21</f>
        <v>34453</v>
      </c>
      <c r="G28" s="272">
        <f t="shared" si="5"/>
        <v>5.4353731914968137E-4</v>
      </c>
      <c r="I28" s="334" t="s">
        <v>1003</v>
      </c>
      <c r="J28" s="337" t="s">
        <v>2577</v>
      </c>
      <c r="K28" s="335">
        <v>0</v>
      </c>
      <c r="L28" s="335">
        <v>0</v>
      </c>
      <c r="M28" s="335">
        <v>1000</v>
      </c>
      <c r="N28" s="335">
        <v>50</v>
      </c>
      <c r="O28" s="335">
        <f t="shared" ref="O28" si="11">IF(M28=0,0,M28-K28)-N28</f>
        <v>950</v>
      </c>
      <c r="P28" s="335">
        <f t="shared" ref="P28" si="12">IF(M28=0,K28,0)</f>
        <v>0</v>
      </c>
      <c r="Q28" s="405" t="s">
        <v>1327</v>
      </c>
      <c r="R28" s="348">
        <v>42573</v>
      </c>
      <c r="S28" s="348">
        <f>R28+3</f>
        <v>42576</v>
      </c>
      <c r="T28" s="508">
        <f>(S28-R28)/112</f>
        <v>2.6785714285714284E-2</v>
      </c>
      <c r="U28" s="509"/>
    </row>
    <row r="29" spans="2:22" ht="15" customHeight="1" x14ac:dyDescent="0.25">
      <c r="B29" s="226"/>
      <c r="C29" s="242"/>
      <c r="D29" s="304"/>
      <c r="E29" s="431" t="s">
        <v>10</v>
      </c>
      <c r="F29" s="432">
        <f>EconomiaT50!C22</f>
        <v>0</v>
      </c>
      <c r="G29" s="430">
        <f t="shared" si="5"/>
        <v>0</v>
      </c>
      <c r="I29" s="334" t="s">
        <v>1003</v>
      </c>
      <c r="J29" s="337" t="s">
        <v>2580</v>
      </c>
      <c r="K29" s="335">
        <v>0</v>
      </c>
      <c r="L29" s="335">
        <v>0</v>
      </c>
      <c r="M29" s="335">
        <v>128000</v>
      </c>
      <c r="N29" s="335">
        <f>M29-121600</f>
        <v>6400</v>
      </c>
      <c r="O29" s="335">
        <f t="shared" ref="O29" si="13">IF(M29=0,0,M29-K29)-N29</f>
        <v>121600</v>
      </c>
      <c r="P29" s="335">
        <f t="shared" ref="P29" si="14">IF(M29=0,K29,0)</f>
        <v>0</v>
      </c>
      <c r="Q29" s="405" t="s">
        <v>1327</v>
      </c>
      <c r="R29" s="348">
        <v>42588</v>
      </c>
      <c r="S29" s="348">
        <f>R29+3</f>
        <v>42591</v>
      </c>
      <c r="T29" s="508">
        <f>(S29-R29)/112</f>
        <v>2.6785714285714284E-2</v>
      </c>
      <c r="U29" s="509"/>
    </row>
    <row r="30" spans="2:22" ht="18.75" x14ac:dyDescent="0.3">
      <c r="B30" s="366" t="s">
        <v>291</v>
      </c>
      <c r="C30" s="367">
        <f>C23+C21+C17+C11+C6</f>
        <v>63386631.588929087</v>
      </c>
      <c r="D30" s="639">
        <f>C30/C30</f>
        <v>1</v>
      </c>
      <c r="E30" s="366" t="s">
        <v>291</v>
      </c>
      <c r="F30" s="367">
        <f>F23+F19+F11+F6</f>
        <v>63386631.949943811</v>
      </c>
      <c r="G30" s="43">
        <f>F30/$F$30</f>
        <v>1</v>
      </c>
      <c r="I30" s="334" t="s">
        <v>1003</v>
      </c>
      <c r="J30" s="337" t="s">
        <v>2582</v>
      </c>
      <c r="K30" s="335">
        <v>0</v>
      </c>
      <c r="L30" s="335">
        <v>0</v>
      </c>
      <c r="M30" s="335">
        <v>300000</v>
      </c>
      <c r="N30" s="335">
        <v>15000</v>
      </c>
      <c r="O30" s="335">
        <f t="shared" ref="O30:O32" si="15">IF(M30=0,0,M30-K30)-N30</f>
        <v>285000</v>
      </c>
      <c r="P30" s="335">
        <f t="shared" ref="P30:P32" si="16">IF(M30=0,K30,0)</f>
        <v>0</v>
      </c>
      <c r="Q30" s="405" t="s">
        <v>1327</v>
      </c>
      <c r="R30" s="348">
        <v>42621</v>
      </c>
      <c r="S30" s="348">
        <f>R30+3</f>
        <v>42624</v>
      </c>
      <c r="T30" s="508">
        <f>(S30-R30)/112</f>
        <v>2.6785714285714284E-2</v>
      </c>
      <c r="U30" s="509"/>
      <c r="V30" s="622"/>
    </row>
    <row r="31" spans="2:22" ht="15" customHeight="1" x14ac:dyDescent="0.25">
      <c r="D31" s="280"/>
      <c r="E31" s="638" t="s">
        <v>2418</v>
      </c>
      <c r="F31" s="417">
        <f>F30-C30</f>
        <v>0.361014723777771</v>
      </c>
      <c r="I31" s="187" t="s">
        <v>1006</v>
      </c>
      <c r="J31" s="336" t="s">
        <v>2584</v>
      </c>
      <c r="K31" s="333">
        <v>2750000</v>
      </c>
      <c r="L31" s="333">
        <v>31716</v>
      </c>
      <c r="M31" s="333">
        <v>0</v>
      </c>
      <c r="N31" s="333">
        <v>0</v>
      </c>
      <c r="O31" s="343">
        <f t="shared" si="15"/>
        <v>0</v>
      </c>
      <c r="P31" s="333">
        <f t="shared" si="16"/>
        <v>2750000</v>
      </c>
      <c r="Q31" s="403"/>
      <c r="R31" s="347">
        <v>42630</v>
      </c>
      <c r="S31" s="347"/>
      <c r="T31" s="247" t="s">
        <v>2492</v>
      </c>
      <c r="U31" s="509"/>
    </row>
    <row r="32" spans="2:22" x14ac:dyDescent="0.25">
      <c r="H32" s="225"/>
      <c r="I32" s="187" t="s">
        <v>1006</v>
      </c>
      <c r="J32" s="336" t="s">
        <v>2586</v>
      </c>
      <c r="K32" s="333">
        <f>1833333</f>
        <v>1833333</v>
      </c>
      <c r="L32" s="333">
        <v>22752</v>
      </c>
      <c r="M32" s="333">
        <v>0</v>
      </c>
      <c r="N32" s="333">
        <v>0</v>
      </c>
      <c r="O32" s="343">
        <f t="shared" si="15"/>
        <v>0</v>
      </c>
      <c r="P32" s="333">
        <f t="shared" si="16"/>
        <v>1833333</v>
      </c>
      <c r="Q32" s="403"/>
      <c r="R32" s="347">
        <v>42633</v>
      </c>
      <c r="S32" s="347"/>
      <c r="T32" s="247" t="s">
        <v>2492</v>
      </c>
      <c r="U32" s="509"/>
      <c r="V32" s="622"/>
    </row>
    <row r="33" spans="2:22" ht="15" customHeight="1" x14ac:dyDescent="0.25">
      <c r="B33" s="641" t="s">
        <v>2417</v>
      </c>
      <c r="C33" s="640">
        <f>EconomiaT49!C24</f>
        <v>5651581.5889290832</v>
      </c>
      <c r="E33" s="2" t="s">
        <v>2419</v>
      </c>
      <c r="F33" s="212">
        <f>C23-F23</f>
        <v>1824684</v>
      </c>
      <c r="G33" s="212"/>
      <c r="T33" s="508"/>
      <c r="U33" s="509"/>
    </row>
    <row r="34" spans="2:22" x14ac:dyDescent="0.25">
      <c r="C34" s="212">
        <f>C33-C21</f>
        <v>0</v>
      </c>
      <c r="T34" s="508"/>
      <c r="U34" s="509"/>
      <c r="V34" s="622"/>
    </row>
    <row r="35" spans="2:22" x14ac:dyDescent="0.25">
      <c r="T35" s="508"/>
      <c r="U35" s="509"/>
      <c r="V35" s="622"/>
    </row>
    <row r="36" spans="2:22" x14ac:dyDescent="0.25">
      <c r="E36" s="225"/>
      <c r="T36" s="508"/>
      <c r="U36" s="633"/>
      <c r="V36" s="622"/>
    </row>
    <row r="37" spans="2:22" ht="14.25" customHeight="1" x14ac:dyDescent="0.25">
      <c r="T37" s="508"/>
      <c r="U37" s="633"/>
    </row>
    <row r="38" spans="2:22" s="2" customFormat="1" x14ac:dyDescent="0.25">
      <c r="B38" s="212"/>
      <c r="C38" s="212"/>
      <c r="D38" s="212"/>
      <c r="E38"/>
      <c r="F38" s="225"/>
      <c r="G38" s="225"/>
      <c r="I38" s="5"/>
      <c r="J38" s="6"/>
      <c r="K38" s="5"/>
      <c r="L38" s="5"/>
      <c r="M38" s="5"/>
      <c r="N38" s="5"/>
      <c r="O38" s="5"/>
      <c r="P38" s="5"/>
      <c r="Q38" s="502"/>
      <c r="R38" s="5"/>
      <c r="S38" s="5"/>
      <c r="T38" s="508"/>
      <c r="U38" s="633"/>
      <c r="V38" s="622"/>
    </row>
    <row r="39" spans="2:22" ht="15" customHeight="1" x14ac:dyDescent="0.25">
      <c r="T39" s="508"/>
      <c r="U39" s="633"/>
    </row>
    <row r="40" spans="2:22" ht="15" customHeight="1" x14ac:dyDescent="0.25">
      <c r="T40" s="508"/>
      <c r="U40" s="633"/>
    </row>
    <row r="41" spans="2:22" x14ac:dyDescent="0.25">
      <c r="T41" s="508"/>
      <c r="U41" s="633"/>
      <c r="V41" s="622"/>
    </row>
    <row r="42" spans="2:22" x14ac:dyDescent="0.25">
      <c r="T42" s="508"/>
      <c r="U42" s="633"/>
      <c r="V42" s="622"/>
    </row>
    <row r="43" spans="2:22" ht="15" customHeight="1" x14ac:dyDescent="0.25">
      <c r="U43" s="633"/>
    </row>
    <row r="44" spans="2:22" x14ac:dyDescent="0.25">
      <c r="U44" s="633"/>
      <c r="V44" s="622"/>
    </row>
    <row r="45" spans="2:22" ht="15" customHeight="1" x14ac:dyDescent="0.25">
      <c r="U45" s="509"/>
    </row>
    <row r="46" spans="2:22" x14ac:dyDescent="0.25">
      <c r="U46" s="509"/>
      <c r="V46" s="622"/>
    </row>
    <row r="47" spans="2:22" x14ac:dyDescent="0.25">
      <c r="U47" s="509"/>
      <c r="V47" s="622"/>
    </row>
    <row r="48" spans="2:22" x14ac:dyDescent="0.25">
      <c r="U48" s="509"/>
      <c r="V48" s="622"/>
    </row>
    <row r="49" spans="22:22" ht="15" customHeight="1" x14ac:dyDescent="0.25"/>
    <row r="50" spans="22:22" ht="15" customHeight="1" x14ac:dyDescent="0.25"/>
    <row r="51" spans="22:22" x14ac:dyDescent="0.25">
      <c r="V51" s="622"/>
    </row>
    <row r="52" spans="22:22" x14ac:dyDescent="0.25">
      <c r="V52" s="622"/>
    </row>
    <row r="53" spans="22:22" x14ac:dyDescent="0.25">
      <c r="V53" s="622"/>
    </row>
    <row r="55" spans="22:22" x14ac:dyDescent="0.25">
      <c r="V55" s="622"/>
    </row>
    <row r="60" spans="22:22" x14ac:dyDescent="0.25">
      <c r="V60" s="622"/>
    </row>
    <row r="62" spans="22:22" x14ac:dyDescent="0.25">
      <c r="V62" s="622"/>
    </row>
    <row r="63" spans="22:22" x14ac:dyDescent="0.25">
      <c r="V63" s="622"/>
    </row>
    <row r="64" spans="22:22" x14ac:dyDescent="0.25">
      <c r="V64" s="622"/>
    </row>
    <row r="65" spans="22:22" x14ac:dyDescent="0.25">
      <c r="V65" s="622"/>
    </row>
    <row r="66" spans="22:22" x14ac:dyDescent="0.25">
      <c r="V66" s="622"/>
    </row>
    <row r="68" spans="22:22" x14ac:dyDescent="0.25">
      <c r="V68" s="622"/>
    </row>
    <row r="74" spans="22:22" x14ac:dyDescent="0.25">
      <c r="V74" s="622"/>
    </row>
  </sheetData>
  <autoFilter ref="I3:S29"/>
  <mergeCells count="5">
    <mergeCell ref="B2:G2"/>
    <mergeCell ref="I2:S2"/>
    <mergeCell ref="B3:G3"/>
    <mergeCell ref="B4:C4"/>
    <mergeCell ref="E4:F4"/>
  </mergeCells>
  <conditionalFormatting sqref="F12:F17">
    <cfRule type="cellIs" dxfId="546" priority="202" operator="lessThan">
      <formula>0</formula>
    </cfRule>
    <cfRule type="cellIs" dxfId="545" priority="203" operator="greaterThan">
      <formula>0</formula>
    </cfRule>
  </conditionalFormatting>
  <conditionalFormatting sqref="F33">
    <cfRule type="cellIs" dxfId="544" priority="201" operator="lessThan">
      <formula>0</formula>
    </cfRule>
  </conditionalFormatting>
  <conditionalFormatting sqref="C34">
    <cfRule type="cellIs" dxfId="543" priority="191" operator="greaterThan">
      <formula>0</formula>
    </cfRule>
    <cfRule type="cellIs" dxfId="542" priority="200" operator="lessThan">
      <formula>0</formula>
    </cfRule>
  </conditionalFormatting>
  <conditionalFormatting sqref="O4">
    <cfRule type="cellIs" dxfId="541" priority="196" operator="lessThan">
      <formula>0</formula>
    </cfRule>
    <cfRule type="cellIs" dxfId="540" priority="197" operator="greaterThan">
      <formula>0</formula>
    </cfRule>
  </conditionalFormatting>
  <conditionalFormatting sqref="O5">
    <cfRule type="cellIs" dxfId="539" priority="194" operator="lessThan">
      <formula>0</formula>
    </cfRule>
    <cfRule type="cellIs" dxfId="538" priority="195" operator="greaterThan">
      <formula>0</formula>
    </cfRule>
  </conditionalFormatting>
  <conditionalFormatting sqref="Q5">
    <cfRule type="cellIs" dxfId="537" priority="192" operator="lessThan">
      <formula>0</formula>
    </cfRule>
    <cfRule type="cellIs" dxfId="536" priority="193" operator="greaterThan">
      <formula>0</formula>
    </cfRule>
  </conditionalFormatting>
  <conditionalFormatting sqref="O6">
    <cfRule type="cellIs" dxfId="535" priority="189" operator="lessThan">
      <formula>0</formula>
    </cfRule>
    <cfRule type="cellIs" dxfId="534" priority="190" operator="greaterThan">
      <formula>0</formula>
    </cfRule>
  </conditionalFormatting>
  <conditionalFormatting sqref="O7">
    <cfRule type="cellIs" dxfId="533" priority="187" operator="lessThan">
      <formula>0</formula>
    </cfRule>
    <cfRule type="cellIs" dxfId="532" priority="188" operator="greaterThan">
      <formula>0</formula>
    </cfRule>
  </conditionalFormatting>
  <conditionalFormatting sqref="Q7">
    <cfRule type="cellIs" dxfId="531" priority="185" operator="lessThan">
      <formula>0</formula>
    </cfRule>
    <cfRule type="cellIs" dxfId="530" priority="186" operator="greaterThan">
      <formula>0</formula>
    </cfRule>
  </conditionalFormatting>
  <conditionalFormatting sqref="O8">
    <cfRule type="cellIs" dxfId="529" priority="183" operator="lessThan">
      <formula>0</formula>
    </cfRule>
    <cfRule type="cellIs" dxfId="528" priority="184" operator="greaterThan">
      <formula>0</formula>
    </cfRule>
  </conditionalFormatting>
  <conditionalFormatting sqref="Q8">
    <cfRule type="cellIs" dxfId="527" priority="181" operator="lessThan">
      <formula>0</formula>
    </cfRule>
    <cfRule type="cellIs" dxfId="526" priority="182" operator="greaterThan">
      <formula>0</formula>
    </cfRule>
  </conditionalFormatting>
  <conditionalFormatting sqref="O9">
    <cfRule type="cellIs" dxfId="525" priority="179" operator="lessThan">
      <formula>0</formula>
    </cfRule>
    <cfRule type="cellIs" dxfId="524" priority="180" operator="greaterThan">
      <formula>0</formula>
    </cfRule>
  </conditionalFormatting>
  <conditionalFormatting sqref="Q9">
    <cfRule type="cellIs" dxfId="523" priority="177" operator="lessThan">
      <formula>0</formula>
    </cfRule>
    <cfRule type="cellIs" dxfId="522" priority="178" operator="greaterThan">
      <formula>0</formula>
    </cfRule>
  </conditionalFormatting>
  <conditionalFormatting sqref="O10">
    <cfRule type="cellIs" dxfId="521" priority="175" operator="lessThan">
      <formula>0</formula>
    </cfRule>
    <cfRule type="cellIs" dxfId="520" priority="176" operator="greaterThan">
      <formula>0</formula>
    </cfRule>
  </conditionalFormatting>
  <conditionalFormatting sqref="Q10">
    <cfRule type="cellIs" dxfId="519" priority="173" operator="lessThan">
      <formula>0</formula>
    </cfRule>
    <cfRule type="cellIs" dxfId="518" priority="174" operator="greaterThan">
      <formula>0</formula>
    </cfRule>
  </conditionalFormatting>
  <conditionalFormatting sqref="O11">
    <cfRule type="cellIs" dxfId="517" priority="171" operator="lessThan">
      <formula>0</formula>
    </cfRule>
    <cfRule type="cellIs" dxfId="516" priority="172" operator="greaterThan">
      <formula>0</formula>
    </cfRule>
  </conditionalFormatting>
  <conditionalFormatting sqref="Q11">
    <cfRule type="cellIs" dxfId="515" priority="169" operator="lessThan">
      <formula>0</formula>
    </cfRule>
    <cfRule type="cellIs" dxfId="514" priority="170" operator="greaterThan">
      <formula>0</formula>
    </cfRule>
  </conditionalFormatting>
  <conditionalFormatting sqref="O12">
    <cfRule type="cellIs" dxfId="513" priority="167" operator="lessThan">
      <formula>0</formula>
    </cfRule>
    <cfRule type="cellIs" dxfId="512" priority="168" operator="greaterThan">
      <formula>0</formula>
    </cfRule>
  </conditionalFormatting>
  <conditionalFormatting sqref="O13">
    <cfRule type="cellIs" dxfId="511" priority="163" operator="lessThan">
      <formula>0</formula>
    </cfRule>
    <cfRule type="cellIs" dxfId="510" priority="164" operator="greaterThan">
      <formula>0</formula>
    </cfRule>
  </conditionalFormatting>
  <conditionalFormatting sqref="O14">
    <cfRule type="cellIs" dxfId="509" priority="151" operator="lessThan">
      <formula>0</formula>
    </cfRule>
    <cfRule type="cellIs" dxfId="508" priority="152" operator="greaterThan">
      <formula>0</formula>
    </cfRule>
  </conditionalFormatting>
  <conditionalFormatting sqref="Q6">
    <cfRule type="cellIs" dxfId="507" priority="135" operator="lessThan">
      <formula>0</formula>
    </cfRule>
    <cfRule type="cellIs" dxfId="506" priority="136" operator="greaterThan">
      <formula>0</formula>
    </cfRule>
  </conditionalFormatting>
  <conditionalFormatting sqref="Q4">
    <cfRule type="cellIs" dxfId="505" priority="133" operator="lessThan">
      <formula>0</formula>
    </cfRule>
    <cfRule type="cellIs" dxfId="504" priority="134" operator="greaterThan">
      <formula>0</formula>
    </cfRule>
  </conditionalFormatting>
  <conditionalFormatting sqref="O15">
    <cfRule type="cellIs" dxfId="503" priority="131" operator="lessThan">
      <formula>0</formula>
    </cfRule>
    <cfRule type="cellIs" dxfId="502" priority="132" operator="greaterThan">
      <formula>0</formula>
    </cfRule>
  </conditionalFormatting>
  <conditionalFormatting sqref="Q15">
    <cfRule type="cellIs" dxfId="501" priority="129" operator="lessThan">
      <formula>0</formula>
    </cfRule>
    <cfRule type="cellIs" dxfId="500" priority="130" operator="greaterThan">
      <formula>0</formula>
    </cfRule>
  </conditionalFormatting>
  <conditionalFormatting sqref="O16">
    <cfRule type="cellIs" dxfId="499" priority="127" operator="lessThan">
      <formula>0</formula>
    </cfRule>
    <cfRule type="cellIs" dxfId="498" priority="128" operator="greaterThan">
      <formula>0</formula>
    </cfRule>
  </conditionalFormatting>
  <conditionalFormatting sqref="Q16">
    <cfRule type="cellIs" dxfId="497" priority="125" operator="lessThan">
      <formula>0</formula>
    </cfRule>
    <cfRule type="cellIs" dxfId="496" priority="126" operator="greaterThan">
      <formula>0</formula>
    </cfRule>
  </conditionalFormatting>
  <conditionalFormatting sqref="O17">
    <cfRule type="cellIs" dxfId="495" priority="93" operator="lessThan">
      <formula>0</formula>
    </cfRule>
    <cfRule type="cellIs" dxfId="494" priority="94" operator="greaterThan">
      <formula>0</formula>
    </cfRule>
  </conditionalFormatting>
  <conditionalFormatting sqref="Q17">
    <cfRule type="cellIs" dxfId="493" priority="91" operator="lessThan">
      <formula>0</formula>
    </cfRule>
    <cfRule type="cellIs" dxfId="492" priority="92" operator="greaterThan">
      <formula>0</formula>
    </cfRule>
  </conditionalFormatting>
  <conditionalFormatting sqref="O18">
    <cfRule type="cellIs" dxfId="491" priority="83" operator="lessThan">
      <formula>0</formula>
    </cfRule>
    <cfRule type="cellIs" dxfId="490" priority="84" operator="greaterThan">
      <formula>0</formula>
    </cfRule>
  </conditionalFormatting>
  <conditionalFormatting sqref="O19">
    <cfRule type="cellIs" dxfId="489" priority="79" operator="lessThan">
      <formula>0</formula>
    </cfRule>
    <cfRule type="cellIs" dxfId="488" priority="80" operator="greaterThan">
      <formula>0</formula>
    </cfRule>
  </conditionalFormatting>
  <conditionalFormatting sqref="Q19">
    <cfRule type="cellIs" dxfId="487" priority="77" operator="lessThan">
      <formula>0</formula>
    </cfRule>
    <cfRule type="cellIs" dxfId="486" priority="78" operator="greaterThan">
      <formula>0</formula>
    </cfRule>
  </conditionalFormatting>
  <conditionalFormatting sqref="O20">
    <cfRule type="cellIs" dxfId="485" priority="71" operator="lessThan">
      <formula>0</formula>
    </cfRule>
    <cfRule type="cellIs" dxfId="484" priority="72" operator="greaterThan">
      <formula>0</formula>
    </cfRule>
  </conditionalFormatting>
  <conditionalFormatting sqref="O21">
    <cfRule type="cellIs" dxfId="483" priority="67" operator="lessThan">
      <formula>0</formula>
    </cfRule>
    <cfRule type="cellIs" dxfId="482" priority="68" operator="greaterThan">
      <formula>0</formula>
    </cfRule>
  </conditionalFormatting>
  <conditionalFormatting sqref="O22">
    <cfRule type="cellIs" dxfId="481" priority="63" operator="lessThan">
      <formula>0</formula>
    </cfRule>
    <cfRule type="cellIs" dxfId="480" priority="64" operator="greaterThan">
      <formula>0</formula>
    </cfRule>
  </conditionalFormatting>
  <conditionalFormatting sqref="O23">
    <cfRule type="cellIs" dxfId="479" priority="59" operator="lessThan">
      <formula>0</formula>
    </cfRule>
    <cfRule type="cellIs" dxfId="478" priority="60" operator="greaterThan">
      <formula>0</formula>
    </cfRule>
  </conditionalFormatting>
  <conditionalFormatting sqref="O24">
    <cfRule type="cellIs" dxfId="477" priority="53" operator="lessThan">
      <formula>0</formula>
    </cfRule>
    <cfRule type="cellIs" dxfId="476" priority="54" operator="greaterThan">
      <formula>0</formula>
    </cfRule>
  </conditionalFormatting>
  <conditionalFormatting sqref="O25">
    <cfRule type="cellIs" dxfId="475" priority="49" operator="lessThan">
      <formula>0</formula>
    </cfRule>
    <cfRule type="cellIs" dxfId="474" priority="50" operator="greaterThan">
      <formula>0</formula>
    </cfRule>
  </conditionalFormatting>
  <conditionalFormatting sqref="Q25">
    <cfRule type="cellIs" dxfId="473" priority="47" operator="lessThan">
      <formula>0</formula>
    </cfRule>
    <cfRule type="cellIs" dxfId="472" priority="48" operator="greaterThan">
      <formula>0</formula>
    </cfRule>
  </conditionalFormatting>
  <conditionalFormatting sqref="O26">
    <cfRule type="cellIs" dxfId="471" priority="45" operator="lessThan">
      <formula>0</formula>
    </cfRule>
    <cfRule type="cellIs" dxfId="470" priority="46" operator="greaterThan">
      <formula>0</formula>
    </cfRule>
  </conditionalFormatting>
  <conditionalFormatting sqref="Q26">
    <cfRule type="cellIs" dxfId="469" priority="43" operator="lessThan">
      <formula>0</formula>
    </cfRule>
    <cfRule type="cellIs" dxfId="468" priority="44" operator="greaterThan">
      <formula>0</formula>
    </cfRule>
  </conditionalFormatting>
  <conditionalFormatting sqref="Q23">
    <cfRule type="cellIs" dxfId="467" priority="41" operator="lessThan">
      <formula>0</formula>
    </cfRule>
    <cfRule type="cellIs" dxfId="466" priority="42" operator="greaterThan">
      <formula>0</formula>
    </cfRule>
  </conditionalFormatting>
  <conditionalFormatting sqref="Q20">
    <cfRule type="cellIs" dxfId="465" priority="39" operator="lessThan">
      <formula>0</formula>
    </cfRule>
    <cfRule type="cellIs" dxfId="464" priority="40" operator="greaterThan">
      <formula>0</formula>
    </cfRule>
  </conditionalFormatting>
  <conditionalFormatting sqref="Q21">
    <cfRule type="cellIs" dxfId="463" priority="37" operator="lessThan">
      <formula>0</formula>
    </cfRule>
    <cfRule type="cellIs" dxfId="462" priority="38" operator="greaterThan">
      <formula>0</formula>
    </cfRule>
  </conditionalFormatting>
  <conditionalFormatting sqref="Q22">
    <cfRule type="cellIs" dxfId="461" priority="35" operator="lessThan">
      <formula>0</formula>
    </cfRule>
    <cfRule type="cellIs" dxfId="460" priority="36" operator="greaterThan">
      <formula>0</formula>
    </cfRule>
  </conditionalFormatting>
  <conditionalFormatting sqref="Q14">
    <cfRule type="cellIs" dxfId="459" priority="33" operator="lessThan">
      <formula>0</formula>
    </cfRule>
    <cfRule type="cellIs" dxfId="458" priority="34" operator="greaterThan">
      <formula>0</formula>
    </cfRule>
  </conditionalFormatting>
  <conditionalFormatting sqref="O27">
    <cfRule type="cellIs" dxfId="457" priority="31" operator="lessThan">
      <formula>0</formula>
    </cfRule>
    <cfRule type="cellIs" dxfId="456" priority="32" operator="greaterThan">
      <formula>0</formula>
    </cfRule>
  </conditionalFormatting>
  <conditionalFormatting sqref="Q27">
    <cfRule type="cellIs" dxfId="455" priority="29" operator="lessThan">
      <formula>0</formula>
    </cfRule>
    <cfRule type="cellIs" dxfId="454" priority="30" operator="greaterThan">
      <formula>0</formula>
    </cfRule>
  </conditionalFormatting>
  <conditionalFormatting sqref="O28">
    <cfRule type="cellIs" dxfId="453" priority="27" operator="lessThan">
      <formula>0</formula>
    </cfRule>
    <cfRule type="cellIs" dxfId="452" priority="28" operator="greaterThan">
      <formula>0</formula>
    </cfRule>
  </conditionalFormatting>
  <conditionalFormatting sqref="Q28">
    <cfRule type="cellIs" dxfId="451" priority="25" operator="lessThan">
      <formula>0</formula>
    </cfRule>
    <cfRule type="cellIs" dxfId="450" priority="26" operator="greaterThan">
      <formula>0</formula>
    </cfRule>
  </conditionalFormatting>
  <conditionalFormatting sqref="O29">
    <cfRule type="cellIs" dxfId="449" priority="23" operator="lessThan">
      <formula>0</formula>
    </cfRule>
    <cfRule type="cellIs" dxfId="448" priority="24" operator="greaterThan">
      <formula>0</formula>
    </cfRule>
  </conditionalFormatting>
  <conditionalFormatting sqref="Q29">
    <cfRule type="cellIs" dxfId="447" priority="21" operator="lessThan">
      <formula>0</formula>
    </cfRule>
    <cfRule type="cellIs" dxfId="446" priority="22" operator="greaterThan">
      <formula>0</formula>
    </cfRule>
  </conditionalFormatting>
  <conditionalFormatting sqref="O30">
    <cfRule type="cellIs" dxfId="445" priority="19" operator="lessThan">
      <formula>0</formula>
    </cfRule>
    <cfRule type="cellIs" dxfId="444" priority="20" operator="greaterThan">
      <formula>0</formula>
    </cfRule>
  </conditionalFormatting>
  <conditionalFormatting sqref="Q30">
    <cfRule type="cellIs" dxfId="443" priority="17" operator="lessThan">
      <formula>0</formula>
    </cfRule>
    <cfRule type="cellIs" dxfId="442" priority="18" operator="greaterThan">
      <formula>0</formula>
    </cfRule>
  </conditionalFormatting>
  <conditionalFormatting sqref="Q18">
    <cfRule type="cellIs" dxfId="441" priority="15" operator="lessThan">
      <formula>0</formula>
    </cfRule>
    <cfRule type="cellIs" dxfId="440" priority="16" operator="greaterThan">
      <formula>0</formula>
    </cfRule>
  </conditionalFormatting>
  <conditionalFormatting sqref="O31">
    <cfRule type="cellIs" dxfId="439" priority="13" operator="lessThan">
      <formula>0</formula>
    </cfRule>
    <cfRule type="cellIs" dxfId="438" priority="14" operator="greaterThan">
      <formula>0</formula>
    </cfRule>
  </conditionalFormatting>
  <conditionalFormatting sqref="Q31">
    <cfRule type="cellIs" dxfId="437" priority="11" operator="lessThan">
      <formula>0</formula>
    </cfRule>
    <cfRule type="cellIs" dxfId="436" priority="12" operator="greaterThan">
      <formula>0</formula>
    </cfRule>
  </conditionalFormatting>
  <conditionalFormatting sqref="Q13">
    <cfRule type="cellIs" dxfId="435" priority="9" operator="lessThan">
      <formula>0</formula>
    </cfRule>
    <cfRule type="cellIs" dxfId="434" priority="10" operator="greaterThan">
      <formula>0</formula>
    </cfRule>
  </conditionalFormatting>
  <conditionalFormatting sqref="Q12">
    <cfRule type="cellIs" dxfId="433" priority="7" operator="lessThan">
      <formula>0</formula>
    </cfRule>
    <cfRule type="cellIs" dxfId="432" priority="8" operator="greaterThan">
      <formula>0</formula>
    </cfRule>
  </conditionalFormatting>
  <conditionalFormatting sqref="Q24">
    <cfRule type="cellIs" dxfId="431" priority="5" operator="lessThan">
      <formula>0</formula>
    </cfRule>
    <cfRule type="cellIs" dxfId="430" priority="6" operator="greaterThan">
      <formula>0</formula>
    </cfRule>
  </conditionalFormatting>
  <conditionalFormatting sqref="O32">
    <cfRule type="cellIs" dxfId="429" priority="3" operator="lessThan">
      <formula>0</formula>
    </cfRule>
    <cfRule type="cellIs" dxfId="428" priority="4" operator="greaterThan">
      <formula>0</formula>
    </cfRule>
  </conditionalFormatting>
  <conditionalFormatting sqref="Q32">
    <cfRule type="cellIs" dxfId="427" priority="1" operator="lessThan">
      <formula>0</formula>
    </cfRule>
    <cfRule type="cellIs" dxfId="426" priority="2" operator="greaterThan">
      <formula>0</formula>
    </cfRule>
  </conditionalFormatting>
  <pageMargins left="0.7" right="0.7" top="0.75" bottom="0.75" header="0.3" footer="0.3"/>
  <pageSetup paperSize="9" orientation="portrait" r:id="rId1"/>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V48"/>
  <sheetViews>
    <sheetView zoomScale="80" zoomScaleNormal="80" workbookViewId="0">
      <pane xSplit="3" ySplit="4" topLeftCell="K5" activePane="bottomRight" state="frozen"/>
      <selection pane="topRight" activeCell="D1" sqref="D1"/>
      <selection pane="bottomLeft" activeCell="A5" sqref="A5"/>
      <selection pane="bottomRight" activeCell="P33" sqref="P33"/>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5703125" bestFit="1" customWidth="1"/>
    <col min="5" max="5" width="18.28515625" style="701" bestFit="1" customWidth="1"/>
    <col min="6" max="6" width="18.28515625" bestFit="1" customWidth="1"/>
    <col min="7" max="7" width="18.28515625" style="97" bestFit="1" customWidth="1"/>
    <col min="8" max="9" width="18.28515625" bestFit="1" customWidth="1"/>
    <col min="10" max="19" width="18.28515625" style="5" bestFit="1" customWidth="1"/>
    <col min="20" max="20" width="11.42578125" style="5"/>
    <col min="21" max="21" width="15.42578125" style="5" bestFit="1" customWidth="1"/>
    <col min="22" max="22" width="9.7109375" style="5" bestFit="1" customWidth="1"/>
    <col min="23" max="16384" width="11.42578125" style="5"/>
  </cols>
  <sheetData>
    <row r="1" spans="1:22" ht="23.25" x14ac:dyDescent="0.35">
      <c r="A1" s="156" t="s">
        <v>13</v>
      </c>
      <c r="B1" s="255"/>
      <c r="C1" s="255"/>
    </row>
    <row r="2" spans="1:22" s="178" customFormat="1" ht="12.75" x14ac:dyDescent="0.2">
      <c r="B2" s="297"/>
      <c r="C2" s="297"/>
      <c r="D2" s="181">
        <f>EconomiaT50!S2+7</f>
        <v>42637</v>
      </c>
      <c r="E2" s="181">
        <f>D2+7</f>
        <v>42644</v>
      </c>
      <c r="F2" s="181">
        <f t="shared" ref="F2:S2" si="0">E2+7</f>
        <v>42651</v>
      </c>
      <c r="G2" s="181">
        <f t="shared" si="0"/>
        <v>42658</v>
      </c>
      <c r="H2" s="181">
        <f t="shared" si="0"/>
        <v>42665</v>
      </c>
      <c r="I2" s="181">
        <f t="shared" si="0"/>
        <v>42672</v>
      </c>
      <c r="J2" s="181">
        <f t="shared" si="0"/>
        <v>42679</v>
      </c>
      <c r="K2" s="181">
        <f t="shared" si="0"/>
        <v>42686</v>
      </c>
      <c r="L2" s="181">
        <f t="shared" si="0"/>
        <v>42693</v>
      </c>
      <c r="M2" s="181">
        <f t="shared" si="0"/>
        <v>42700</v>
      </c>
      <c r="N2" s="181">
        <f t="shared" si="0"/>
        <v>42707</v>
      </c>
      <c r="O2" s="181">
        <f t="shared" si="0"/>
        <v>42714</v>
      </c>
      <c r="P2" s="181">
        <f t="shared" si="0"/>
        <v>42721</v>
      </c>
      <c r="Q2" s="181">
        <f t="shared" si="0"/>
        <v>42728</v>
      </c>
      <c r="R2" s="181">
        <f t="shared" si="0"/>
        <v>42735</v>
      </c>
      <c r="S2" s="181">
        <f t="shared" si="0"/>
        <v>42742</v>
      </c>
      <c r="T2" s="181"/>
    </row>
    <row r="3" spans="1:22" s="6" customFormat="1" x14ac:dyDescent="0.25">
      <c r="A3" s="27"/>
      <c r="B3" s="27"/>
      <c r="C3" s="298" t="s">
        <v>2587</v>
      </c>
      <c r="D3" s="148" t="s">
        <v>16</v>
      </c>
      <c r="E3" s="148" t="s">
        <v>715</v>
      </c>
      <c r="F3" s="148" t="s">
        <v>702</v>
      </c>
      <c r="G3" s="148" t="s">
        <v>703</v>
      </c>
      <c r="H3" s="148" t="s">
        <v>704</v>
      </c>
      <c r="I3" s="148" t="s">
        <v>705</v>
      </c>
      <c r="J3" s="148" t="s">
        <v>21</v>
      </c>
      <c r="K3" s="148" t="s">
        <v>22</v>
      </c>
      <c r="L3" s="148" t="s">
        <v>23</v>
      </c>
      <c r="M3" s="148" t="s">
        <v>17</v>
      </c>
      <c r="N3" s="148" t="s">
        <v>18</v>
      </c>
      <c r="O3" s="148" t="s">
        <v>24</v>
      </c>
      <c r="P3" s="159" t="s">
        <v>25</v>
      </c>
      <c r="Q3" s="148" t="s">
        <v>26</v>
      </c>
      <c r="R3" s="148" t="s">
        <v>27</v>
      </c>
      <c r="S3" s="148" t="s">
        <v>28</v>
      </c>
    </row>
    <row r="4" spans="1:22" s="6" customFormat="1" x14ac:dyDescent="0.25">
      <c r="A4" s="27"/>
      <c r="B4" s="298"/>
      <c r="C4" s="298" t="s">
        <v>42</v>
      </c>
      <c r="D4" s="215">
        <v>2610</v>
      </c>
      <c r="E4" s="215">
        <f>D4+(D11/30)</f>
        <v>2612</v>
      </c>
      <c r="F4" s="215">
        <f t="shared" ref="F4:S4" si="1">E4+(E11/30)</f>
        <v>2618</v>
      </c>
      <c r="G4" s="215">
        <f t="shared" si="1"/>
        <v>2625</v>
      </c>
      <c r="H4" s="215">
        <f t="shared" si="1"/>
        <v>2631</v>
      </c>
      <c r="I4" s="215">
        <f t="shared" si="1"/>
        <v>2637</v>
      </c>
      <c r="J4" s="215">
        <f t="shared" si="1"/>
        <v>2643</v>
      </c>
      <c r="K4" s="215">
        <f t="shared" si="1"/>
        <v>2649</v>
      </c>
      <c r="L4" s="215">
        <f t="shared" si="1"/>
        <v>2652</v>
      </c>
      <c r="M4" s="215">
        <f t="shared" si="1"/>
        <v>2658</v>
      </c>
      <c r="N4" s="215">
        <f t="shared" si="1"/>
        <v>2664</v>
      </c>
      <c r="O4" s="215">
        <f t="shared" si="1"/>
        <v>2668</v>
      </c>
      <c r="P4" s="503">
        <f t="shared" si="1"/>
        <v>2674</v>
      </c>
      <c r="Q4" s="215">
        <f t="shared" si="1"/>
        <v>2680</v>
      </c>
      <c r="R4" s="215">
        <f t="shared" si="1"/>
        <v>2686</v>
      </c>
      <c r="S4" s="215">
        <f t="shared" si="1"/>
        <v>2692</v>
      </c>
    </row>
    <row r="5" spans="1:22" s="7" customFormat="1" ht="18.75" x14ac:dyDescent="0.3">
      <c r="A5" s="29" t="s">
        <v>12</v>
      </c>
      <c r="B5" s="29"/>
      <c r="C5" s="296">
        <f>EconomiaT50!S24</f>
        <v>7149121.5889290832</v>
      </c>
      <c r="D5" s="197">
        <f>C5</f>
        <v>7149121.5889290832</v>
      </c>
      <c r="E5" s="197">
        <f>D24</f>
        <v>1850400.5889290832</v>
      </c>
      <c r="F5" s="197">
        <f t="shared" ref="F5:S5" si="2">E24</f>
        <v>2181800.2989192838</v>
      </c>
      <c r="G5" s="197">
        <f t="shared" si="2"/>
        <v>2038741.2989192838</v>
      </c>
      <c r="H5" s="197">
        <f t="shared" si="2"/>
        <v>2456715.2989192838</v>
      </c>
      <c r="I5" s="197">
        <f t="shared" si="2"/>
        <v>2719191.2989192838</v>
      </c>
      <c r="J5" s="197">
        <f t="shared" si="2"/>
        <v>2588321.2989192838</v>
      </c>
      <c r="K5" s="197">
        <f t="shared" si="2"/>
        <v>3257362.2989192838</v>
      </c>
      <c r="L5" s="197">
        <f t="shared" si="2"/>
        <v>3474580.2989192838</v>
      </c>
      <c r="M5" s="197">
        <f t="shared" si="2"/>
        <v>7445084.2989192838</v>
      </c>
      <c r="N5" s="197">
        <f t="shared" si="2"/>
        <v>7182784.2989192838</v>
      </c>
      <c r="O5" s="197">
        <f t="shared" si="2"/>
        <v>5483604.2989192829</v>
      </c>
      <c r="P5" s="198">
        <f t="shared" si="2"/>
        <v>5980115.2989192829</v>
      </c>
      <c r="Q5" s="197">
        <f t="shared" si="2"/>
        <v>5706324.2989192829</v>
      </c>
      <c r="R5" s="197">
        <f t="shared" si="2"/>
        <v>5959533.2989192829</v>
      </c>
      <c r="S5" s="197">
        <f t="shared" si="2"/>
        <v>5712495.6874127705</v>
      </c>
    </row>
    <row r="6" spans="1:22" x14ac:dyDescent="0.25">
      <c r="A6" s="8" t="s">
        <v>0</v>
      </c>
      <c r="B6" s="8" t="s">
        <v>0</v>
      </c>
      <c r="C6" s="199">
        <f>SUM(D6:S6)</f>
        <v>5825579</v>
      </c>
      <c r="D6" s="202">
        <f>31524+21490</f>
        <v>53014</v>
      </c>
      <c r="E6" s="202">
        <f>196058+492251</f>
        <v>688309</v>
      </c>
      <c r="F6" s="202">
        <v>146467</v>
      </c>
      <c r="G6" s="202">
        <f>147517+618198</f>
        <v>765715</v>
      </c>
      <c r="H6" s="202">
        <v>126275</v>
      </c>
      <c r="I6" s="202">
        <v>207871</v>
      </c>
      <c r="J6" s="202">
        <f>429813+561750</f>
        <v>991563</v>
      </c>
      <c r="K6" s="202">
        <v>388924</v>
      </c>
      <c r="L6" s="202">
        <f>519400+25325</f>
        <v>544725</v>
      </c>
      <c r="M6" s="202">
        <v>25656</v>
      </c>
      <c r="N6" s="202">
        <f>592188+25254</f>
        <v>617442</v>
      </c>
      <c r="O6" s="202">
        <v>594618</v>
      </c>
      <c r="P6" s="201">
        <v>25000</v>
      </c>
      <c r="Q6" s="202">
        <v>550000</v>
      </c>
      <c r="R6" s="202">
        <v>50000</v>
      </c>
      <c r="S6" s="202">
        <v>50000</v>
      </c>
      <c r="U6" s="8" t="s">
        <v>0</v>
      </c>
      <c r="V6" s="219">
        <f>C6/$C$13</f>
        <v>0.38519565534580918</v>
      </c>
    </row>
    <row r="7" spans="1:22" x14ac:dyDescent="0.25">
      <c r="A7" s="8" t="s">
        <v>2</v>
      </c>
      <c r="B7" s="8" t="s">
        <v>2</v>
      </c>
      <c r="C7" s="199">
        <f t="shared" ref="C7:C23" si="3">SUM(D7:S7)</f>
        <v>2480958.2325946526</v>
      </c>
      <c r="D7" s="202">
        <v>115445</v>
      </c>
      <c r="E7" s="202">
        <v>134831.70999020064</v>
      </c>
      <c r="F7" s="202">
        <v>140000</v>
      </c>
      <c r="G7" s="202">
        <v>145000</v>
      </c>
      <c r="H7" s="202">
        <v>150000</v>
      </c>
      <c r="I7" s="202">
        <v>155000</v>
      </c>
      <c r="J7" s="202">
        <v>162919</v>
      </c>
      <c r="K7" s="202">
        <v>163175</v>
      </c>
      <c r="L7" s="202">
        <v>163545</v>
      </c>
      <c r="M7" s="202">
        <v>163915</v>
      </c>
      <c r="N7" s="202">
        <v>164285</v>
      </c>
      <c r="O7" s="202">
        <v>164470</v>
      </c>
      <c r="P7" s="702">
        <v>164840</v>
      </c>
      <c r="Q7" s="202">
        <f t="shared" ref="Q7:S7" si="4">P7*(1+Q41)</f>
        <v>164840</v>
      </c>
      <c r="R7" s="202">
        <f t="shared" si="4"/>
        <v>164593.38849348758</v>
      </c>
      <c r="S7" s="202">
        <f t="shared" si="4"/>
        <v>164099.13411096443</v>
      </c>
      <c r="U7" s="8" t="s">
        <v>2</v>
      </c>
      <c r="V7" s="219">
        <f t="shared" ref="V7:V12" si="5">C7/$C$13</f>
        <v>0.16404452369281711</v>
      </c>
    </row>
    <row r="8" spans="1:22" x14ac:dyDescent="0.25">
      <c r="A8" s="8" t="s">
        <v>3</v>
      </c>
      <c r="B8" s="8" t="s">
        <v>48</v>
      </c>
      <c r="C8" s="199">
        <f t="shared" si="3"/>
        <v>4745790</v>
      </c>
      <c r="D8" s="202">
        <v>0</v>
      </c>
      <c r="E8" s="202">
        <v>0</v>
      </c>
      <c r="F8" s="202">
        <v>0</v>
      </c>
      <c r="G8" s="202">
        <v>0</v>
      </c>
      <c r="H8" s="202">
        <v>0</v>
      </c>
      <c r="I8" s="202">
        <v>0</v>
      </c>
      <c r="J8" s="202">
        <v>0</v>
      </c>
      <c r="K8" s="202">
        <v>0</v>
      </c>
      <c r="L8" s="202">
        <v>3702330</v>
      </c>
      <c r="M8" s="202">
        <v>0</v>
      </c>
      <c r="N8" s="202">
        <v>1043460</v>
      </c>
      <c r="O8" s="202">
        <v>0</v>
      </c>
      <c r="P8" s="201">
        <v>0</v>
      </c>
      <c r="Q8" s="202">
        <v>0</v>
      </c>
      <c r="R8" s="202">
        <v>0</v>
      </c>
      <c r="S8" s="202">
        <v>0</v>
      </c>
      <c r="U8" s="8" t="s">
        <v>48</v>
      </c>
      <c r="V8" s="219">
        <f t="shared" si="5"/>
        <v>0.31379845491471114</v>
      </c>
    </row>
    <row r="9" spans="1:22" x14ac:dyDescent="0.25">
      <c r="A9" s="8"/>
      <c r="B9" s="8" t="s">
        <v>820</v>
      </c>
      <c r="C9" s="199">
        <f t="shared" si="3"/>
        <v>1682944</v>
      </c>
      <c r="D9" s="202">
        <v>52250</v>
      </c>
      <c r="E9" s="202">
        <v>0</v>
      </c>
      <c r="F9" s="202">
        <v>0</v>
      </c>
      <c r="G9" s="202">
        <v>0</v>
      </c>
      <c r="H9" s="202">
        <v>1430244</v>
      </c>
      <c r="I9" s="202">
        <v>0</v>
      </c>
      <c r="J9" s="202">
        <v>0</v>
      </c>
      <c r="K9" s="202">
        <v>950</v>
      </c>
      <c r="L9" s="202">
        <v>0</v>
      </c>
      <c r="M9" s="202">
        <v>0</v>
      </c>
      <c r="N9" s="202">
        <v>0</v>
      </c>
      <c r="O9" s="202">
        <v>199500</v>
      </c>
      <c r="P9" s="201">
        <v>0</v>
      </c>
      <c r="Q9" s="202">
        <v>0</v>
      </c>
      <c r="R9" s="202">
        <v>0</v>
      </c>
      <c r="S9" s="202">
        <v>0</v>
      </c>
      <c r="U9" s="8" t="s">
        <v>820</v>
      </c>
      <c r="V9" s="219">
        <f t="shared" si="5"/>
        <v>0.11127867581751059</v>
      </c>
    </row>
    <row r="10" spans="1:22" x14ac:dyDescent="0.25">
      <c r="A10" s="8" t="s">
        <v>5</v>
      </c>
      <c r="B10" s="8" t="s">
        <v>5</v>
      </c>
      <c r="C10" s="199">
        <f t="shared" si="3"/>
        <v>145197</v>
      </c>
      <c r="D10" s="202">
        <v>685</v>
      </c>
      <c r="E10" s="202">
        <v>0</v>
      </c>
      <c r="F10" s="202">
        <f>33625+28560</f>
        <v>62185</v>
      </c>
      <c r="G10" s="202">
        <v>0</v>
      </c>
      <c r="H10" s="202">
        <f>12390+500+166+1326</f>
        <v>14382</v>
      </c>
      <c r="I10" s="202">
        <v>0</v>
      </c>
      <c r="J10" s="202">
        <v>11300</v>
      </c>
      <c r="K10" s="202">
        <v>0</v>
      </c>
      <c r="L10" s="202">
        <v>50645</v>
      </c>
      <c r="M10" s="202">
        <v>0</v>
      </c>
      <c r="N10" s="202">
        <v>0</v>
      </c>
      <c r="O10" s="202">
        <v>0</v>
      </c>
      <c r="P10" s="201">
        <v>0</v>
      </c>
      <c r="Q10" s="202">
        <v>2000</v>
      </c>
      <c r="R10" s="202">
        <f t="shared" ref="R10" si="6">Q10</f>
        <v>2000</v>
      </c>
      <c r="S10" s="202">
        <f>R10</f>
        <v>2000</v>
      </c>
      <c r="U10" s="8" t="s">
        <v>5</v>
      </c>
      <c r="V10" s="219">
        <f t="shared" si="5"/>
        <v>9.6006343007700116E-3</v>
      </c>
    </row>
    <row r="11" spans="1:22" x14ac:dyDescent="0.25">
      <c r="A11" s="728" t="s">
        <v>7</v>
      </c>
      <c r="B11" s="8" t="s">
        <v>42</v>
      </c>
      <c r="C11" s="199">
        <f t="shared" si="3"/>
        <v>83220</v>
      </c>
      <c r="D11" s="202">
        <v>60</v>
      </c>
      <c r="E11" s="202">
        <v>180</v>
      </c>
      <c r="F11" s="202">
        <v>210</v>
      </c>
      <c r="G11" s="202">
        <v>180</v>
      </c>
      <c r="H11" s="202">
        <v>180</v>
      </c>
      <c r="I11" s="202">
        <v>180</v>
      </c>
      <c r="J11" s="202">
        <v>180</v>
      </c>
      <c r="K11" s="202">
        <v>90</v>
      </c>
      <c r="L11" s="202">
        <v>180</v>
      </c>
      <c r="M11" s="202">
        <v>180</v>
      </c>
      <c r="N11" s="202">
        <v>120</v>
      </c>
      <c r="O11" s="202">
        <v>180</v>
      </c>
      <c r="P11" s="201">
        <f t="shared" ref="P11:R11" si="7">O11</f>
        <v>180</v>
      </c>
      <c r="Q11" s="202">
        <f t="shared" si="7"/>
        <v>180</v>
      </c>
      <c r="R11" s="202">
        <f t="shared" si="7"/>
        <v>180</v>
      </c>
      <c r="S11" s="202">
        <f>30*S4</f>
        <v>80760</v>
      </c>
      <c r="U11" s="8" t="s">
        <v>19</v>
      </c>
      <c r="V11" s="219">
        <f t="shared" si="5"/>
        <v>5.502625994408151E-3</v>
      </c>
    </row>
    <row r="12" spans="1:22" x14ac:dyDescent="0.25">
      <c r="A12" s="729"/>
      <c r="B12" s="8" t="s">
        <v>51</v>
      </c>
      <c r="C12" s="199">
        <f t="shared" si="3"/>
        <v>160000</v>
      </c>
      <c r="D12" s="202">
        <v>0</v>
      </c>
      <c r="E12" s="202"/>
      <c r="F12" s="202">
        <v>0</v>
      </c>
      <c r="G12" s="202">
        <v>0</v>
      </c>
      <c r="H12" s="202">
        <v>0</v>
      </c>
      <c r="I12" s="202">
        <v>0</v>
      </c>
      <c r="J12" s="202">
        <v>0</v>
      </c>
      <c r="K12" s="202">
        <v>160000</v>
      </c>
      <c r="L12" s="202">
        <v>0</v>
      </c>
      <c r="M12" s="202">
        <v>0</v>
      </c>
      <c r="N12" s="202">
        <v>0</v>
      </c>
      <c r="O12" s="202">
        <v>0</v>
      </c>
      <c r="P12" s="201">
        <v>0</v>
      </c>
      <c r="Q12" s="202">
        <v>0</v>
      </c>
      <c r="R12" s="202">
        <v>0</v>
      </c>
      <c r="S12" s="202">
        <f>R12</f>
        <v>0</v>
      </c>
      <c r="U12" s="8" t="s">
        <v>51</v>
      </c>
      <c r="V12" s="219">
        <f t="shared" si="5"/>
        <v>1.0579429933973854E-2</v>
      </c>
    </row>
    <row r="13" spans="1:22" s="21" customFormat="1" ht="18.75" x14ac:dyDescent="0.3">
      <c r="A13" s="19" t="s">
        <v>14</v>
      </c>
      <c r="B13" s="20"/>
      <c r="C13" s="203">
        <f t="shared" si="3"/>
        <v>15123688.232594652</v>
      </c>
      <c r="D13" s="204">
        <f t="shared" ref="D13:I13" si="8">SUM(D6:D12)</f>
        <v>221454</v>
      </c>
      <c r="E13" s="204">
        <f t="shared" si="8"/>
        <v>823320.70999020059</v>
      </c>
      <c r="F13" s="204">
        <f t="shared" si="8"/>
        <v>348862</v>
      </c>
      <c r="G13" s="204">
        <f>G12+G11+G10+G9+G8+G7+G6</f>
        <v>910895</v>
      </c>
      <c r="H13" s="204">
        <f t="shared" si="8"/>
        <v>1721081</v>
      </c>
      <c r="I13" s="204">
        <f t="shared" si="8"/>
        <v>363051</v>
      </c>
      <c r="J13" s="204">
        <f t="shared" ref="J13:S13" si="9">SUM(J6:J12)</f>
        <v>1165962</v>
      </c>
      <c r="K13" s="204">
        <f t="shared" si="9"/>
        <v>713139</v>
      </c>
      <c r="L13" s="204">
        <f t="shared" si="9"/>
        <v>4461425</v>
      </c>
      <c r="M13" s="204">
        <f t="shared" si="9"/>
        <v>189751</v>
      </c>
      <c r="N13" s="204">
        <f t="shared" si="9"/>
        <v>1825307</v>
      </c>
      <c r="O13" s="204">
        <f t="shared" si="9"/>
        <v>958768</v>
      </c>
      <c r="P13" s="205">
        <f t="shared" si="9"/>
        <v>190020</v>
      </c>
      <c r="Q13" s="204">
        <f t="shared" si="9"/>
        <v>717020</v>
      </c>
      <c r="R13" s="204">
        <f t="shared" si="9"/>
        <v>216773.38849348758</v>
      </c>
      <c r="S13" s="204">
        <f t="shared" si="9"/>
        <v>296859.13411096443</v>
      </c>
      <c r="V13" s="222">
        <f>SUM(V6:V12)</f>
        <v>1</v>
      </c>
    </row>
    <row r="14" spans="1:22" ht="18.75" x14ac:dyDescent="0.3">
      <c r="A14" s="22" t="s">
        <v>1</v>
      </c>
      <c r="B14" s="23" t="str">
        <f>A14</f>
        <v>Sueldos</v>
      </c>
      <c r="C14" s="206">
        <f t="shared" si="3"/>
        <v>5616090</v>
      </c>
      <c r="D14" s="207">
        <v>332940</v>
      </c>
      <c r="E14" s="207">
        <v>368042</v>
      </c>
      <c r="F14" s="207">
        <v>368042</v>
      </c>
      <c r="G14" s="207">
        <v>368042</v>
      </c>
      <c r="H14" s="207">
        <v>368042</v>
      </c>
      <c r="I14" s="207">
        <v>368042</v>
      </c>
      <c r="J14" s="207">
        <v>368042</v>
      </c>
      <c r="K14" s="207">
        <v>368042</v>
      </c>
      <c r="L14" s="207">
        <v>368042</v>
      </c>
      <c r="M14" s="207">
        <v>327172</v>
      </c>
      <c r="N14" s="207">
        <v>320536</v>
      </c>
      <c r="O14" s="207">
        <v>335378</v>
      </c>
      <c r="P14" s="542">
        <v>338932</v>
      </c>
      <c r="Q14" s="207">
        <f t="shared" ref="Q14:R14" si="10">P14</f>
        <v>338932</v>
      </c>
      <c r="R14" s="207">
        <f t="shared" si="10"/>
        <v>338932</v>
      </c>
      <c r="S14" s="207">
        <f>R14</f>
        <v>338932</v>
      </c>
      <c r="U14" s="744">
        <f>C13</f>
        <v>15123688.232594652</v>
      </c>
      <c r="V14" s="745"/>
    </row>
    <row r="15" spans="1:22" x14ac:dyDescent="0.25">
      <c r="A15" s="22" t="s">
        <v>29</v>
      </c>
      <c r="B15" s="23" t="str">
        <f>A15</f>
        <v xml:space="preserve">Mantenimiento </v>
      </c>
      <c r="C15" s="206">
        <f t="shared" si="3"/>
        <v>665584</v>
      </c>
      <c r="D15" s="207">
        <f>EconomiaT50!S15</f>
        <v>41599</v>
      </c>
      <c r="E15" s="207">
        <f>D15</f>
        <v>41599</v>
      </c>
      <c r="F15" s="207">
        <f t="shared" ref="F15:K15" si="11">E15</f>
        <v>41599</v>
      </c>
      <c r="G15" s="207">
        <f t="shared" si="11"/>
        <v>41599</v>
      </c>
      <c r="H15" s="207">
        <f t="shared" si="11"/>
        <v>41599</v>
      </c>
      <c r="I15" s="207">
        <f t="shared" si="11"/>
        <v>41599</v>
      </c>
      <c r="J15" s="207">
        <f t="shared" si="11"/>
        <v>41599</v>
      </c>
      <c r="K15" s="207">
        <f t="shared" si="11"/>
        <v>41599</v>
      </c>
      <c r="L15" s="207">
        <v>41599</v>
      </c>
      <c r="M15" s="207">
        <f t="shared" ref="M15:R15" si="12">L15</f>
        <v>41599</v>
      </c>
      <c r="N15" s="207">
        <f t="shared" si="12"/>
        <v>41599</v>
      </c>
      <c r="O15" s="207">
        <f t="shared" si="12"/>
        <v>41599</v>
      </c>
      <c r="P15" s="201">
        <f t="shared" si="12"/>
        <v>41599</v>
      </c>
      <c r="Q15" s="207">
        <f t="shared" si="12"/>
        <v>41599</v>
      </c>
      <c r="R15" s="207">
        <f t="shared" si="12"/>
        <v>41599</v>
      </c>
      <c r="S15" s="207">
        <f>R15</f>
        <v>41599</v>
      </c>
    </row>
    <row r="16" spans="1:22" x14ac:dyDescent="0.25">
      <c r="A16" s="22" t="s">
        <v>4</v>
      </c>
      <c r="B16" s="23" t="s">
        <v>30</v>
      </c>
      <c r="C16" s="206">
        <f t="shared" si="3"/>
        <v>0</v>
      </c>
      <c r="D16" s="207">
        <v>0</v>
      </c>
      <c r="E16" s="207">
        <v>0</v>
      </c>
      <c r="F16" s="207">
        <v>0</v>
      </c>
      <c r="G16" s="207">
        <v>0</v>
      </c>
      <c r="H16" s="207">
        <v>0</v>
      </c>
      <c r="I16" s="207">
        <v>0</v>
      </c>
      <c r="J16" s="207">
        <v>0</v>
      </c>
      <c r="K16" s="207">
        <v>0</v>
      </c>
      <c r="L16" s="207">
        <f t="shared" ref="L16:S16" si="13">K16</f>
        <v>0</v>
      </c>
      <c r="M16" s="207">
        <f t="shared" si="13"/>
        <v>0</v>
      </c>
      <c r="N16" s="207">
        <f t="shared" si="13"/>
        <v>0</v>
      </c>
      <c r="O16" s="207">
        <f t="shared" si="13"/>
        <v>0</v>
      </c>
      <c r="P16" s="201">
        <f t="shared" si="13"/>
        <v>0</v>
      </c>
      <c r="Q16" s="207">
        <f t="shared" si="13"/>
        <v>0</v>
      </c>
      <c r="R16" s="207">
        <f t="shared" si="13"/>
        <v>0</v>
      </c>
      <c r="S16" s="207">
        <f t="shared" si="13"/>
        <v>0</v>
      </c>
    </row>
    <row r="17" spans="1:22" x14ac:dyDescent="0.25">
      <c r="A17" s="22" t="s">
        <v>6</v>
      </c>
      <c r="B17" s="23" t="str">
        <f>A17</f>
        <v>Empleados</v>
      </c>
      <c r="C17" s="206">
        <f t="shared" si="3"/>
        <v>1093920</v>
      </c>
      <c r="D17" s="207">
        <f>57120+57600</f>
        <v>114720</v>
      </c>
      <c r="E17" s="207">
        <v>65280</v>
      </c>
      <c r="F17" s="207">
        <f>E17</f>
        <v>65280</v>
      </c>
      <c r="G17" s="207">
        <f t="shared" ref="G17:K17" si="14">F17</f>
        <v>65280</v>
      </c>
      <c r="H17" s="207">
        <f t="shared" si="14"/>
        <v>65280</v>
      </c>
      <c r="I17" s="207">
        <f t="shared" si="14"/>
        <v>65280</v>
      </c>
      <c r="J17" s="207">
        <f t="shared" si="14"/>
        <v>65280</v>
      </c>
      <c r="K17" s="207">
        <f t="shared" si="14"/>
        <v>65280</v>
      </c>
      <c r="L17" s="207">
        <v>65280</v>
      </c>
      <c r="M17" s="207">
        <f t="shared" ref="M17:S17" si="15">L17</f>
        <v>65280</v>
      </c>
      <c r="N17" s="207">
        <f t="shared" si="15"/>
        <v>65280</v>
      </c>
      <c r="O17" s="207">
        <f t="shared" si="15"/>
        <v>65280</v>
      </c>
      <c r="P17" s="201">
        <f t="shared" si="15"/>
        <v>65280</v>
      </c>
      <c r="Q17" s="207">
        <f t="shared" si="15"/>
        <v>65280</v>
      </c>
      <c r="R17" s="207">
        <f t="shared" si="15"/>
        <v>65280</v>
      </c>
      <c r="S17" s="207">
        <f t="shared" si="15"/>
        <v>65280</v>
      </c>
    </row>
    <row r="18" spans="1:22" x14ac:dyDescent="0.25">
      <c r="A18" s="22" t="s">
        <v>8</v>
      </c>
      <c r="B18" s="23" t="str">
        <f>A18</f>
        <v>Juveniles</v>
      </c>
      <c r="C18" s="206">
        <f t="shared" si="3"/>
        <v>240000</v>
      </c>
      <c r="D18" s="207">
        <v>15000</v>
      </c>
      <c r="E18" s="207">
        <f>D18</f>
        <v>15000</v>
      </c>
      <c r="F18" s="207">
        <f t="shared" ref="F18:K18" si="16">E18</f>
        <v>15000</v>
      </c>
      <c r="G18" s="207">
        <f t="shared" si="16"/>
        <v>15000</v>
      </c>
      <c r="H18" s="207">
        <f t="shared" si="16"/>
        <v>15000</v>
      </c>
      <c r="I18" s="207">
        <f t="shared" si="16"/>
        <v>15000</v>
      </c>
      <c r="J18" s="207">
        <f t="shared" si="16"/>
        <v>15000</v>
      </c>
      <c r="K18" s="207">
        <f t="shared" si="16"/>
        <v>15000</v>
      </c>
      <c r="L18" s="207">
        <v>15000</v>
      </c>
      <c r="M18" s="207">
        <v>15000</v>
      </c>
      <c r="N18" s="207">
        <v>15000</v>
      </c>
      <c r="O18" s="207">
        <v>15000</v>
      </c>
      <c r="P18" s="201">
        <v>15000</v>
      </c>
      <c r="Q18" s="207">
        <v>15000</v>
      </c>
      <c r="R18" s="207">
        <v>15000</v>
      </c>
      <c r="S18" s="207">
        <f>R18</f>
        <v>15000</v>
      </c>
    </row>
    <row r="19" spans="1:22" x14ac:dyDescent="0.25">
      <c r="A19" s="22" t="s">
        <v>9</v>
      </c>
      <c r="B19" s="23" t="s">
        <v>50</v>
      </c>
      <c r="C19" s="206">
        <f t="shared" si="3"/>
        <v>8282672</v>
      </c>
      <c r="D19" s="207">
        <v>4245916</v>
      </c>
      <c r="E19" s="207">
        <v>0</v>
      </c>
      <c r="F19" s="207">
        <v>0</v>
      </c>
      <c r="G19" s="207">
        <v>0</v>
      </c>
      <c r="H19" s="207">
        <f>951000+9684</f>
        <v>960684</v>
      </c>
      <c r="I19" s="207">
        <v>0</v>
      </c>
      <c r="J19" s="207">
        <v>0</v>
      </c>
      <c r="K19" s="207">
        <v>0</v>
      </c>
      <c r="L19" s="207">
        <v>0</v>
      </c>
      <c r="M19" s="207">
        <v>0</v>
      </c>
      <c r="N19" s="207">
        <v>3076072</v>
      </c>
      <c r="O19" s="207">
        <v>0</v>
      </c>
      <c r="P19" s="201">
        <v>0</v>
      </c>
      <c r="Q19" s="207">
        <v>0</v>
      </c>
      <c r="R19" s="207">
        <v>0</v>
      </c>
      <c r="S19" s="207">
        <f t="shared" ref="S19:S22" si="17">R19</f>
        <v>0</v>
      </c>
    </row>
    <row r="20" spans="1:22" x14ac:dyDescent="0.25">
      <c r="A20" s="763" t="s">
        <v>7</v>
      </c>
      <c r="B20" s="23" t="s">
        <v>11</v>
      </c>
      <c r="C20" s="206">
        <f t="shared" si="3"/>
        <v>767000</v>
      </c>
      <c r="D20" s="207">
        <v>767000</v>
      </c>
      <c r="E20" s="207">
        <v>0</v>
      </c>
      <c r="F20" s="207">
        <v>0</v>
      </c>
      <c r="G20" s="207">
        <v>0</v>
      </c>
      <c r="H20" s="207">
        <v>0</v>
      </c>
      <c r="I20" s="207">
        <v>0</v>
      </c>
      <c r="J20" s="207">
        <v>0</v>
      </c>
      <c r="K20" s="207">
        <v>0</v>
      </c>
      <c r="L20" s="207">
        <v>0</v>
      </c>
      <c r="M20" s="207">
        <v>0</v>
      </c>
      <c r="N20" s="207">
        <v>0</v>
      </c>
      <c r="O20" s="207">
        <v>0</v>
      </c>
      <c r="P20" s="201">
        <v>0</v>
      </c>
      <c r="Q20" s="207">
        <v>0</v>
      </c>
      <c r="R20" s="207">
        <v>0</v>
      </c>
      <c r="S20" s="207">
        <f t="shared" si="17"/>
        <v>0</v>
      </c>
    </row>
    <row r="21" spans="1:22" x14ac:dyDescent="0.25">
      <c r="A21" s="764"/>
      <c r="B21" s="23" t="s">
        <v>818</v>
      </c>
      <c r="C21" s="206">
        <f t="shared" si="3"/>
        <v>62000</v>
      </c>
      <c r="D21" s="207">
        <v>3000</v>
      </c>
      <c r="E21" s="207">
        <v>2000</v>
      </c>
      <c r="F21" s="207">
        <v>2000</v>
      </c>
      <c r="G21" s="207">
        <v>3000</v>
      </c>
      <c r="H21" s="207">
        <v>8000</v>
      </c>
      <c r="I21" s="207">
        <v>4000</v>
      </c>
      <c r="J21" s="207">
        <v>7000</v>
      </c>
      <c r="K21" s="207">
        <v>6000</v>
      </c>
      <c r="L21" s="207">
        <v>1000</v>
      </c>
      <c r="M21" s="207">
        <v>3000</v>
      </c>
      <c r="N21" s="207">
        <v>6000</v>
      </c>
      <c r="O21" s="207">
        <v>5000</v>
      </c>
      <c r="P21" s="201">
        <v>3000</v>
      </c>
      <c r="Q21" s="207">
        <v>3000</v>
      </c>
      <c r="R21" s="207">
        <v>3000</v>
      </c>
      <c r="S21" s="207">
        <f t="shared" si="17"/>
        <v>3000</v>
      </c>
    </row>
    <row r="22" spans="1:22" x14ac:dyDescent="0.25">
      <c r="A22" s="22" t="s">
        <v>10</v>
      </c>
      <c r="B22" s="23" t="str">
        <f>A22</f>
        <v>Intereses</v>
      </c>
      <c r="C22" s="206">
        <f t="shared" si="3"/>
        <v>0</v>
      </c>
      <c r="D22" s="207">
        <v>0</v>
      </c>
      <c r="E22" s="207">
        <v>0</v>
      </c>
      <c r="F22" s="207">
        <v>0</v>
      </c>
      <c r="G22" s="207">
        <v>0</v>
      </c>
      <c r="H22" s="207">
        <v>0</v>
      </c>
      <c r="I22" s="207">
        <v>0</v>
      </c>
      <c r="J22" s="207">
        <v>0</v>
      </c>
      <c r="K22" s="207">
        <v>0</v>
      </c>
      <c r="L22" s="207">
        <v>0</v>
      </c>
      <c r="M22" s="207">
        <v>0</v>
      </c>
      <c r="N22" s="207">
        <v>0</v>
      </c>
      <c r="O22" s="207">
        <v>0</v>
      </c>
      <c r="P22" s="201">
        <v>0</v>
      </c>
      <c r="Q22" s="207">
        <v>0</v>
      </c>
      <c r="R22" s="207">
        <v>0</v>
      </c>
      <c r="S22" s="207">
        <f t="shared" si="17"/>
        <v>0</v>
      </c>
    </row>
    <row r="23" spans="1:22" s="31" customFormat="1" ht="18.75" x14ac:dyDescent="0.3">
      <c r="A23" s="25" t="s">
        <v>15</v>
      </c>
      <c r="B23" s="26"/>
      <c r="C23" s="209">
        <f t="shared" si="3"/>
        <v>16727266</v>
      </c>
      <c r="D23" s="210">
        <f t="shared" ref="D23:S23" si="18">SUM(D14:D22)</f>
        <v>5520175</v>
      </c>
      <c r="E23" s="210">
        <f t="shared" si="18"/>
        <v>491921</v>
      </c>
      <c r="F23" s="210">
        <f t="shared" si="18"/>
        <v>491921</v>
      </c>
      <c r="G23" s="210">
        <f t="shared" si="18"/>
        <v>492921</v>
      </c>
      <c r="H23" s="210">
        <f t="shared" si="18"/>
        <v>1458605</v>
      </c>
      <c r="I23" s="210">
        <f t="shared" si="18"/>
        <v>493921</v>
      </c>
      <c r="J23" s="210">
        <f t="shared" si="18"/>
        <v>496921</v>
      </c>
      <c r="K23" s="210">
        <f t="shared" si="18"/>
        <v>495921</v>
      </c>
      <c r="L23" s="210">
        <f t="shared" si="18"/>
        <v>490921</v>
      </c>
      <c r="M23" s="210">
        <f t="shared" si="18"/>
        <v>452051</v>
      </c>
      <c r="N23" s="210">
        <f t="shared" si="18"/>
        <v>3524487</v>
      </c>
      <c r="O23" s="210">
        <f t="shared" si="18"/>
        <v>462257</v>
      </c>
      <c r="P23" s="211">
        <f t="shared" si="18"/>
        <v>463811</v>
      </c>
      <c r="Q23" s="210">
        <f t="shared" si="18"/>
        <v>463811</v>
      </c>
      <c r="R23" s="210">
        <f t="shared" si="18"/>
        <v>463811</v>
      </c>
      <c r="S23" s="210">
        <f t="shared" si="18"/>
        <v>463811</v>
      </c>
      <c r="U23" s="23" t="s">
        <v>1</v>
      </c>
      <c r="V23" s="220">
        <f>C14/$C$23</f>
        <v>0.33574464589730324</v>
      </c>
    </row>
    <row r="24" spans="1:22" s="7" customFormat="1" ht="18.75" x14ac:dyDescent="0.3">
      <c r="A24" s="9" t="s">
        <v>20</v>
      </c>
      <c r="B24" s="9"/>
      <c r="C24" s="197">
        <f>C5+C13-C23</f>
        <v>5545543.8215237334</v>
      </c>
      <c r="D24" s="197">
        <f t="shared" ref="D24:S24" si="19">D5+D13-D23</f>
        <v>1850400.5889290832</v>
      </c>
      <c r="E24" s="197">
        <f t="shared" si="19"/>
        <v>2181800.2989192838</v>
      </c>
      <c r="F24" s="197">
        <f t="shared" si="19"/>
        <v>2038741.2989192838</v>
      </c>
      <c r="G24" s="197">
        <f t="shared" si="19"/>
        <v>2456715.2989192838</v>
      </c>
      <c r="H24" s="197">
        <f t="shared" si="19"/>
        <v>2719191.2989192838</v>
      </c>
      <c r="I24" s="197">
        <f t="shared" si="19"/>
        <v>2588321.2989192838</v>
      </c>
      <c r="J24" s="197">
        <f t="shared" si="19"/>
        <v>3257362.2989192838</v>
      </c>
      <c r="K24" s="197">
        <f t="shared" si="19"/>
        <v>3474580.2989192838</v>
      </c>
      <c r="L24" s="197">
        <f t="shared" si="19"/>
        <v>7445084.2989192838</v>
      </c>
      <c r="M24" s="197">
        <f t="shared" si="19"/>
        <v>7182784.2989192838</v>
      </c>
      <c r="N24" s="197">
        <f t="shared" si="19"/>
        <v>5483604.2989192829</v>
      </c>
      <c r="O24" s="197">
        <f t="shared" si="19"/>
        <v>5980115.2989192829</v>
      </c>
      <c r="P24" s="198">
        <f t="shared" si="19"/>
        <v>5706324.2989192829</v>
      </c>
      <c r="Q24" s="197">
        <f t="shared" si="19"/>
        <v>5959533.2989192829</v>
      </c>
      <c r="R24" s="197">
        <f t="shared" si="19"/>
        <v>5712495.6874127705</v>
      </c>
      <c r="S24" s="197">
        <f t="shared" si="19"/>
        <v>5545543.8215237353</v>
      </c>
      <c r="U24" s="23" t="s">
        <v>29</v>
      </c>
      <c r="V24" s="220">
        <f t="shared" ref="V24:V31" si="20">C15/$C$23</f>
        <v>3.9790363828733279E-2</v>
      </c>
    </row>
    <row r="25" spans="1:22" s="178" customFormat="1" x14ac:dyDescent="0.25">
      <c r="A25" s="182"/>
      <c r="B25" s="182"/>
      <c r="C25" s="182"/>
      <c r="D25" s="183">
        <f>D2+6</f>
        <v>42643</v>
      </c>
      <c r="E25" s="183">
        <f>D25+7</f>
        <v>42650</v>
      </c>
      <c r="F25" s="183">
        <f t="shared" ref="F25:S25" si="21">E25+7</f>
        <v>42657</v>
      </c>
      <c r="G25" s="183">
        <f t="shared" si="21"/>
        <v>42664</v>
      </c>
      <c r="H25" s="183">
        <f t="shared" si="21"/>
        <v>42671</v>
      </c>
      <c r="I25" s="183">
        <f t="shared" si="21"/>
        <v>42678</v>
      </c>
      <c r="J25" s="183">
        <f t="shared" si="21"/>
        <v>42685</v>
      </c>
      <c r="K25" s="183">
        <f t="shared" si="21"/>
        <v>42692</v>
      </c>
      <c r="L25" s="183">
        <f t="shared" si="21"/>
        <v>42699</v>
      </c>
      <c r="M25" s="183">
        <f t="shared" si="21"/>
        <v>42706</v>
      </c>
      <c r="N25" s="183">
        <f t="shared" si="21"/>
        <v>42713</v>
      </c>
      <c r="O25" s="183">
        <f t="shared" si="21"/>
        <v>42720</v>
      </c>
      <c r="P25" s="184">
        <f t="shared" si="21"/>
        <v>42727</v>
      </c>
      <c r="Q25" s="183">
        <f t="shared" si="21"/>
        <v>42734</v>
      </c>
      <c r="R25" s="183">
        <f t="shared" si="21"/>
        <v>42741</v>
      </c>
      <c r="S25" s="183">
        <f t="shared" si="21"/>
        <v>42748</v>
      </c>
      <c r="U25" s="23" t="s">
        <v>30</v>
      </c>
      <c r="V25" s="220">
        <f t="shared" si="20"/>
        <v>0</v>
      </c>
    </row>
    <row r="26" spans="1:22" s="178" customFormat="1" x14ac:dyDescent="0.25">
      <c r="A26" s="768" t="s">
        <v>721</v>
      </c>
      <c r="B26" s="768"/>
      <c r="C26" s="768"/>
      <c r="D26" s="559">
        <v>2089170</v>
      </c>
      <c r="E26" s="559"/>
      <c r="F26" s="559"/>
      <c r="G26" s="559"/>
      <c r="H26" s="559"/>
      <c r="I26" s="559"/>
      <c r="J26" s="559"/>
      <c r="K26" s="559"/>
      <c r="L26" s="559">
        <v>1857860</v>
      </c>
      <c r="M26" s="559">
        <v>1866400</v>
      </c>
      <c r="N26" s="559">
        <v>1771600</v>
      </c>
      <c r="O26" s="559">
        <v>1944870</v>
      </c>
      <c r="P26" s="559">
        <v>1966860</v>
      </c>
      <c r="Q26" s="559"/>
      <c r="R26" s="559"/>
      <c r="S26" s="559"/>
      <c r="T26" s="194"/>
      <c r="U26" s="23" t="s">
        <v>6</v>
      </c>
      <c r="V26" s="220">
        <f t="shared" si="20"/>
        <v>6.5397417605483163E-2</v>
      </c>
    </row>
    <row r="27" spans="1:22" s="178" customFormat="1" x14ac:dyDescent="0.25">
      <c r="A27" s="769" t="s">
        <v>1212</v>
      </c>
      <c r="B27" s="769"/>
      <c r="C27" s="769"/>
      <c r="D27" s="560">
        <v>370146</v>
      </c>
      <c r="E27" s="560"/>
      <c r="F27" s="560"/>
      <c r="G27" s="560"/>
      <c r="H27" s="560"/>
      <c r="I27" s="560"/>
      <c r="J27" s="560"/>
      <c r="K27" s="560"/>
      <c r="L27" s="560">
        <v>326872</v>
      </c>
      <c r="M27" s="560">
        <v>326922</v>
      </c>
      <c r="N27" s="560">
        <v>308056</v>
      </c>
      <c r="O27" s="560">
        <v>338682</v>
      </c>
      <c r="P27" s="560">
        <v>338682</v>
      </c>
      <c r="Q27" s="560"/>
      <c r="R27" s="560"/>
      <c r="S27" s="560"/>
      <c r="T27" s="195"/>
      <c r="U27" s="23" t="s">
        <v>8</v>
      </c>
      <c r="V27" s="220">
        <f t="shared" si="20"/>
        <v>1.4347831857280204E-2</v>
      </c>
    </row>
    <row r="28" spans="1:22" x14ac:dyDescent="0.25">
      <c r="A28" s="770" t="s">
        <v>1985</v>
      </c>
      <c r="B28" s="770"/>
      <c r="C28" s="770"/>
      <c r="D28" s="561">
        <v>1858590</v>
      </c>
      <c r="E28" s="561"/>
      <c r="F28" s="561"/>
      <c r="G28" s="561"/>
      <c r="H28" s="561"/>
      <c r="I28" s="561"/>
      <c r="J28" s="561"/>
      <c r="K28" s="561"/>
      <c r="L28" s="561">
        <v>1687100</v>
      </c>
      <c r="M28" s="561">
        <v>1687240</v>
      </c>
      <c r="N28" s="561">
        <v>1665330</v>
      </c>
      <c r="O28" s="561">
        <v>1795560</v>
      </c>
      <c r="P28" s="561">
        <v>1824750</v>
      </c>
      <c r="Q28" s="561"/>
      <c r="R28" s="561"/>
      <c r="S28" s="561"/>
      <c r="T28" s="192"/>
      <c r="U28" s="23" t="s">
        <v>50</v>
      </c>
      <c r="V28" s="220">
        <f t="shared" si="20"/>
        <v>0.49515993827084476</v>
      </c>
    </row>
    <row r="29" spans="1:22" x14ac:dyDescent="0.25">
      <c r="A29" s="768" t="s">
        <v>1986</v>
      </c>
      <c r="B29" s="768"/>
      <c r="C29" s="768"/>
      <c r="D29" s="562">
        <v>301458</v>
      </c>
      <c r="E29" s="562"/>
      <c r="F29" s="562"/>
      <c r="G29" s="562"/>
      <c r="H29" s="562"/>
      <c r="I29" s="562"/>
      <c r="J29" s="562"/>
      <c r="K29" s="562"/>
      <c r="L29" s="562">
        <v>267522</v>
      </c>
      <c r="M29" s="562">
        <v>267522</v>
      </c>
      <c r="N29" s="562">
        <v>269106</v>
      </c>
      <c r="O29" s="562">
        <v>279282</v>
      </c>
      <c r="P29" s="562">
        <v>279282</v>
      </c>
      <c r="Q29" s="562"/>
      <c r="R29" s="562"/>
      <c r="S29" s="562"/>
      <c r="T29" s="192"/>
      <c r="U29" s="23" t="s">
        <v>11</v>
      </c>
      <c r="V29" s="220">
        <f t="shared" si="20"/>
        <v>4.5853279310557986E-2</v>
      </c>
    </row>
    <row r="30" spans="1:22" s="6" customFormat="1" x14ac:dyDescent="0.25">
      <c r="A30" s="769" t="s">
        <v>1987</v>
      </c>
      <c r="B30" s="769"/>
      <c r="C30" s="769"/>
      <c r="D30" s="563">
        <v>6</v>
      </c>
      <c r="E30" s="563"/>
      <c r="F30" s="563"/>
      <c r="G30" s="563"/>
      <c r="H30" s="563"/>
      <c r="I30" s="563"/>
      <c r="J30" s="563"/>
      <c r="K30" s="563"/>
      <c r="L30" s="563">
        <v>6.25</v>
      </c>
      <c r="M30" s="563">
        <v>6</v>
      </c>
      <c r="N30" s="563">
        <v>5.75</v>
      </c>
      <c r="O30" s="563">
        <v>5.5</v>
      </c>
      <c r="P30" s="563">
        <v>5.75</v>
      </c>
      <c r="Q30" s="563"/>
      <c r="R30" s="563"/>
      <c r="S30" s="563"/>
      <c r="U30" s="23" t="s">
        <v>818</v>
      </c>
      <c r="V30" s="220">
        <f t="shared" si="20"/>
        <v>3.7065232297973857E-3</v>
      </c>
    </row>
    <row r="31" spans="1:22" s="6" customFormat="1" x14ac:dyDescent="0.25">
      <c r="A31" s="770" t="s">
        <v>1988</v>
      </c>
      <c r="B31" s="770"/>
      <c r="C31" s="770"/>
      <c r="D31" s="564">
        <v>6.5</v>
      </c>
      <c r="E31" s="564"/>
      <c r="F31" s="564"/>
      <c r="G31" s="564"/>
      <c r="H31" s="564"/>
      <c r="I31" s="564"/>
      <c r="J31" s="564"/>
      <c r="K31" s="564"/>
      <c r="L31" s="564">
        <v>6.75</v>
      </c>
      <c r="M31" s="564">
        <v>6.75</v>
      </c>
      <c r="N31" s="564">
        <v>6.75</v>
      </c>
      <c r="O31" s="564">
        <v>6.75</v>
      </c>
      <c r="P31" s="564">
        <v>6.75</v>
      </c>
      <c r="Q31" s="564"/>
      <c r="R31" s="564"/>
      <c r="S31" s="564"/>
      <c r="U31" s="23" t="s">
        <v>10</v>
      </c>
      <c r="V31" s="220">
        <f t="shared" si="20"/>
        <v>0</v>
      </c>
    </row>
    <row r="32" spans="1:22" s="6" customFormat="1" x14ac:dyDescent="0.25">
      <c r="A32" s="768" t="s">
        <v>1989</v>
      </c>
      <c r="B32" s="768"/>
      <c r="C32" s="768"/>
      <c r="D32" s="562" t="s">
        <v>2591</v>
      </c>
      <c r="E32" s="562"/>
      <c r="F32" s="562"/>
      <c r="G32" s="562"/>
      <c r="H32" s="562"/>
      <c r="I32" s="562"/>
      <c r="J32" s="562"/>
      <c r="K32" s="562"/>
      <c r="L32" s="562" t="s">
        <v>2598</v>
      </c>
      <c r="M32" s="562" t="s">
        <v>2599</v>
      </c>
      <c r="N32" s="562" t="s">
        <v>2600</v>
      </c>
      <c r="O32" s="562" t="s">
        <v>2603</v>
      </c>
      <c r="P32" s="562" t="s">
        <v>2604</v>
      </c>
      <c r="Q32" s="562"/>
      <c r="R32" s="562"/>
      <c r="S32" s="562"/>
    </row>
    <row r="33" spans="1:22" s="6" customFormat="1" x14ac:dyDescent="0.25">
      <c r="A33" s="769" t="s">
        <v>1990</v>
      </c>
      <c r="B33" s="769"/>
      <c r="C33" s="769"/>
      <c r="D33" s="563">
        <v>7.25</v>
      </c>
      <c r="E33" s="563"/>
      <c r="F33" s="563"/>
      <c r="G33" s="563"/>
      <c r="H33" s="563"/>
      <c r="I33" s="563"/>
      <c r="J33" s="563"/>
      <c r="K33" s="563"/>
      <c r="L33" s="563">
        <v>8.25</v>
      </c>
      <c r="M33" s="563">
        <v>8.25</v>
      </c>
      <c r="N33" s="563">
        <v>8</v>
      </c>
      <c r="O33" s="563">
        <v>8.25</v>
      </c>
      <c r="P33" s="563">
        <v>8.25</v>
      </c>
      <c r="Q33" s="563"/>
      <c r="R33" s="563"/>
      <c r="S33" s="563"/>
    </row>
    <row r="34" spans="1:22" s="6" customFormat="1" ht="18.75" x14ac:dyDescent="0.3">
      <c r="A34" s="192"/>
      <c r="B34" s="192"/>
      <c r="C34" s="192"/>
      <c r="D34" s="192"/>
      <c r="E34" s="192"/>
      <c r="F34" s="192"/>
      <c r="G34" s="192"/>
      <c r="H34" s="192"/>
      <c r="I34" s="192"/>
      <c r="J34" s="192"/>
      <c r="K34" s="192"/>
      <c r="L34" s="192"/>
      <c r="M34" s="192"/>
      <c r="N34" s="192"/>
      <c r="O34" s="192"/>
      <c r="P34" s="192"/>
      <c r="Q34" s="192"/>
      <c r="R34" s="192"/>
      <c r="S34" s="192"/>
      <c r="V34" s="221">
        <f>SUM(V23:V31)</f>
        <v>1</v>
      </c>
    </row>
    <row r="35" spans="1:22" s="6" customFormat="1" ht="18.75" x14ac:dyDescent="0.3">
      <c r="A35" s="27"/>
      <c r="B35" s="752" t="s">
        <v>821</v>
      </c>
      <c r="C35" s="167" t="s">
        <v>819</v>
      </c>
      <c r="D35" s="189"/>
      <c r="E35" s="189"/>
      <c r="F35" s="189"/>
      <c r="G35" s="189"/>
      <c r="H35" s="189"/>
      <c r="I35" s="189"/>
      <c r="J35" s="189"/>
      <c r="K35" s="189"/>
      <c r="L35" s="189">
        <v>10553230</v>
      </c>
      <c r="M35" s="189">
        <v>10553230</v>
      </c>
      <c r="N35" s="189">
        <v>10553230</v>
      </c>
      <c r="O35" s="189">
        <v>10553230</v>
      </c>
      <c r="P35" s="189">
        <f>'A-P_T51'!$C$14</f>
        <v>10553230</v>
      </c>
      <c r="Q35" s="189"/>
      <c r="R35" s="189"/>
      <c r="S35" s="189"/>
      <c r="U35" s="746">
        <f>C23</f>
        <v>16727266</v>
      </c>
      <c r="V35" s="747"/>
    </row>
    <row r="36" spans="1:22" x14ac:dyDescent="0.25">
      <c r="A36" s="27"/>
      <c r="B36" s="753"/>
      <c r="C36" s="167" t="s">
        <v>481</v>
      </c>
      <c r="D36" s="189"/>
      <c r="E36" s="189"/>
      <c r="F36" s="189"/>
      <c r="G36" s="189"/>
      <c r="H36" s="189"/>
      <c r="I36" s="189"/>
      <c r="J36" s="189"/>
      <c r="K36" s="189"/>
      <c r="L36" s="189">
        <v>26330977</v>
      </c>
      <c r="M36" s="189">
        <v>26330977</v>
      </c>
      <c r="N36" s="189">
        <v>27407421</v>
      </c>
      <c r="O36" s="189">
        <v>27407421</v>
      </c>
      <c r="P36" s="189">
        <f>'A-P_T51'!$C$13</f>
        <v>27407421</v>
      </c>
      <c r="Q36" s="189"/>
      <c r="R36" s="189"/>
      <c r="S36" s="189"/>
    </row>
    <row r="37" spans="1:22" x14ac:dyDescent="0.25">
      <c r="A37" s="27"/>
      <c r="B37" s="753"/>
      <c r="C37" s="167" t="s">
        <v>1385</v>
      </c>
      <c r="D37" s="189"/>
      <c r="E37" s="189"/>
      <c r="F37" s="189"/>
      <c r="G37" s="189"/>
      <c r="H37" s="189"/>
      <c r="I37" s="189"/>
      <c r="J37" s="189"/>
      <c r="K37" s="189"/>
      <c r="L37" s="189">
        <v>0</v>
      </c>
      <c r="M37" s="189">
        <v>0</v>
      </c>
      <c r="N37" s="189">
        <v>0</v>
      </c>
      <c r="O37" s="189">
        <v>0</v>
      </c>
      <c r="P37" s="189">
        <f>'A-P_T51'!$C$12+'A-P_T51'!$C$15</f>
        <v>0</v>
      </c>
      <c r="Q37" s="189"/>
      <c r="R37" s="189"/>
      <c r="S37" s="189"/>
    </row>
    <row r="38" spans="1:22" x14ac:dyDescent="0.25">
      <c r="A38" s="27"/>
      <c r="B38" s="754"/>
      <c r="C38" s="299" t="s">
        <v>291</v>
      </c>
      <c r="D38" s="300"/>
      <c r="E38" s="300"/>
      <c r="F38" s="300"/>
      <c r="G38" s="300"/>
      <c r="H38" s="300"/>
      <c r="I38" s="300"/>
      <c r="J38" s="300"/>
      <c r="K38" s="300"/>
      <c r="L38" s="300">
        <v>36884207</v>
      </c>
      <c r="M38" s="300">
        <v>36884207</v>
      </c>
      <c r="N38" s="300">
        <v>37960651</v>
      </c>
      <c r="O38" s="300">
        <v>37960651</v>
      </c>
      <c r="P38" s="300">
        <f t="shared" ref="P38" si="22">P37+P36+P35</f>
        <v>37960651</v>
      </c>
      <c r="Q38" s="300"/>
      <c r="R38" s="300"/>
      <c r="S38" s="300"/>
    </row>
    <row r="39" spans="1:22" x14ac:dyDescent="0.25">
      <c r="C39" s="192"/>
      <c r="E39"/>
      <c r="F39" s="247"/>
      <c r="G39" s="247"/>
      <c r="H39" s="247"/>
      <c r="J39"/>
      <c r="K39"/>
      <c r="L39"/>
    </row>
    <row r="40" spans="1:22" x14ac:dyDescent="0.25">
      <c r="D40" s="703"/>
      <c r="H40" s="700"/>
      <c r="I40" s="700"/>
      <c r="J40" s="700"/>
      <c r="K40" s="700"/>
      <c r="M40" s="632"/>
    </row>
    <row r="41" spans="1:22" x14ac:dyDescent="0.25">
      <c r="D41" s="129"/>
      <c r="E41" s="129">
        <v>8.2085413200221849E-2</v>
      </c>
      <c r="F41" s="129">
        <v>5.1721727785284936E-2</v>
      </c>
      <c r="G41" s="129">
        <v>3.2785432634796864E-2</v>
      </c>
      <c r="H41" s="129">
        <v>2.2221268928831882E-2</v>
      </c>
      <c r="I41" s="129">
        <v>1.2421838935750556E-2</v>
      </c>
      <c r="J41" s="129">
        <v>9.2020725388601045E-3</v>
      </c>
      <c r="K41" s="129">
        <v>4.5590832546104241E-3</v>
      </c>
      <c r="L41" s="129">
        <v>3.0255948973750921E-3</v>
      </c>
      <c r="M41" s="129">
        <v>3.0164682863199088E-3</v>
      </c>
      <c r="N41" s="129">
        <v>0</v>
      </c>
      <c r="O41" s="129">
        <v>1.5036982849711453E-3</v>
      </c>
      <c r="P41" s="129">
        <v>1.4983074883482448E-3</v>
      </c>
      <c r="Q41" s="129">
        <v>0</v>
      </c>
      <c r="R41" s="129">
        <v>-1.4960659215748865E-3</v>
      </c>
      <c r="S41" s="129">
        <v>-3.0028811427180134E-3</v>
      </c>
    </row>
    <row r="42" spans="1:22" x14ac:dyDescent="0.25">
      <c r="F42" s="701"/>
      <c r="G42" s="701"/>
      <c r="H42" s="701"/>
      <c r="I42" s="701"/>
      <c r="J42" s="701"/>
      <c r="K42" s="701"/>
      <c r="L42" s="701"/>
      <c r="M42" s="701"/>
      <c r="N42" s="701"/>
      <c r="O42" s="701"/>
      <c r="P42" s="701"/>
      <c r="Q42" s="701"/>
      <c r="R42" s="701"/>
      <c r="S42" s="701"/>
    </row>
    <row r="43" spans="1:22" x14ac:dyDescent="0.25">
      <c r="H43" s="700"/>
      <c r="I43" s="700"/>
      <c r="J43" s="700"/>
      <c r="K43" s="700"/>
    </row>
    <row r="44" spans="1:22" x14ac:dyDescent="0.25">
      <c r="E44" s="316"/>
      <c r="F44" s="316"/>
      <c r="G44" s="316"/>
      <c r="H44" s="316"/>
      <c r="I44" s="316"/>
      <c r="J44" s="478"/>
      <c r="K44" s="478"/>
      <c r="L44" s="478"/>
      <c r="M44" s="478"/>
      <c r="N44" s="478"/>
      <c r="O44" s="478"/>
      <c r="P44" s="478"/>
      <c r="Q44" s="478"/>
      <c r="R44" s="478"/>
      <c r="S44" s="478"/>
    </row>
    <row r="45" spans="1:22" x14ac:dyDescent="0.25">
      <c r="H45" s="727"/>
      <c r="I45" s="727"/>
      <c r="J45" s="727"/>
      <c r="K45" s="727"/>
    </row>
    <row r="46" spans="1:22" x14ac:dyDescent="0.25">
      <c r="H46" s="700"/>
      <c r="I46" s="700"/>
      <c r="J46" s="700"/>
      <c r="K46" s="700"/>
    </row>
    <row r="47" spans="1:22" x14ac:dyDescent="0.25">
      <c r="H47" s="727"/>
      <c r="I47" s="727"/>
      <c r="J47" s="727"/>
      <c r="K47" s="727"/>
    </row>
    <row r="48" spans="1:22" ht="15" customHeight="1" x14ac:dyDescent="0.25">
      <c r="H48" s="727"/>
      <c r="I48" s="727"/>
      <c r="J48" s="727"/>
      <c r="K48" s="4"/>
    </row>
  </sheetData>
  <mergeCells count="16">
    <mergeCell ref="A28:C28"/>
    <mergeCell ref="A11:A12"/>
    <mergeCell ref="U14:V14"/>
    <mergeCell ref="A20:A21"/>
    <mergeCell ref="A26:C26"/>
    <mergeCell ref="A27:C27"/>
    <mergeCell ref="U35:V35"/>
    <mergeCell ref="H45:K45"/>
    <mergeCell ref="H47:K47"/>
    <mergeCell ref="H48:J48"/>
    <mergeCell ref="A29:C29"/>
    <mergeCell ref="A30:C30"/>
    <mergeCell ref="A31:C31"/>
    <mergeCell ref="A32:C32"/>
    <mergeCell ref="A33:C33"/>
    <mergeCell ref="B35:B38"/>
  </mergeCells>
  <pageMargins left="0.7" right="0.7" top="0.75" bottom="0.75" header="0.3" footer="0.3"/>
  <pageSetup paperSize="9" orientation="portrait" horizontalDpi="200" verticalDpi="200"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V74"/>
  <sheetViews>
    <sheetView zoomScale="90" zoomScaleNormal="90" workbookViewId="0">
      <pane xSplit="9" ySplit="3" topLeftCell="K7" activePane="bottomRight" state="frozen"/>
      <selection pane="topRight" activeCell="J1" sqref="J1"/>
      <selection pane="bottomLeft" activeCell="A3" sqref="A3"/>
      <selection pane="bottomRight" activeCell="F14" sqref="F14"/>
    </sheetView>
  </sheetViews>
  <sheetFormatPr baseColWidth="10" defaultColWidth="11.42578125" defaultRowHeight="15" x14ac:dyDescent="0.25"/>
  <cols>
    <col min="1" max="1" width="2.28515625" customWidth="1"/>
    <col min="2" max="2" width="16.28515625" bestFit="1" customWidth="1"/>
    <col min="3" max="3" width="18" style="225" bestFit="1" customWidth="1"/>
    <col min="4" max="4" width="6.5703125" style="225" bestFit="1" customWidth="1"/>
    <col min="5" max="5" width="21" bestFit="1" customWidth="1"/>
    <col min="6" max="6" width="18" style="225" bestFit="1" customWidth="1"/>
    <col min="7" max="7" width="7.7109375" style="225" bestFit="1" customWidth="1"/>
    <col min="8" max="8" width="2.85546875" customWidth="1"/>
    <col min="9" max="9" width="7.7109375" style="5" bestFit="1" customWidth="1"/>
    <col min="10" max="10" width="18" style="6" bestFit="1" customWidth="1"/>
    <col min="11" max="11" width="14.42578125" style="5" bestFit="1" customWidth="1"/>
    <col min="12" max="12" width="10" style="5" bestFit="1" customWidth="1"/>
    <col min="13" max="13" width="12.7109375" style="5" bestFit="1" customWidth="1"/>
    <col min="14" max="14" width="12.140625" style="5" bestFit="1" customWidth="1"/>
    <col min="15" max="15" width="12.7109375" style="5" bestFit="1" customWidth="1"/>
    <col min="16" max="16" width="12.85546875" style="5" bestFit="1" customWidth="1"/>
    <col min="17" max="17" width="8.5703125" style="502" bestFit="1" customWidth="1"/>
    <col min="18" max="18" width="9.140625" style="5" bestFit="1" customWidth="1"/>
    <col min="19" max="19" width="10.140625" style="5" bestFit="1" customWidth="1"/>
    <col min="20" max="20" width="7.7109375" bestFit="1" customWidth="1"/>
    <col min="21" max="22" width="12.7109375" bestFit="1" customWidth="1"/>
  </cols>
  <sheetData>
    <row r="1" spans="2:22" ht="9" customHeight="1" x14ac:dyDescent="0.25">
      <c r="I1"/>
      <c r="J1" s="2"/>
      <c r="K1"/>
      <c r="L1"/>
      <c r="M1"/>
      <c r="N1"/>
      <c r="O1"/>
      <c r="P1"/>
      <c r="Q1" s="321"/>
      <c r="R1"/>
      <c r="S1"/>
    </row>
    <row r="2" spans="2:22" ht="21" x14ac:dyDescent="0.35">
      <c r="B2" s="735" t="s">
        <v>2588</v>
      </c>
      <c r="C2" s="736"/>
      <c r="D2" s="736"/>
      <c r="E2" s="736"/>
      <c r="F2" s="736"/>
      <c r="G2" s="757"/>
      <c r="I2" s="765" t="s">
        <v>2589</v>
      </c>
      <c r="J2" s="766"/>
      <c r="K2" s="766"/>
      <c r="L2" s="766"/>
      <c r="M2" s="766"/>
      <c r="N2" s="766"/>
      <c r="O2" s="766"/>
      <c r="P2" s="766"/>
      <c r="Q2" s="766"/>
      <c r="R2" s="766"/>
      <c r="S2" s="767"/>
    </row>
    <row r="3" spans="2:22" x14ac:dyDescent="0.25">
      <c r="B3" s="755" t="s">
        <v>1025</v>
      </c>
      <c r="C3" s="749"/>
      <c r="D3" s="749"/>
      <c r="E3" s="749"/>
      <c r="F3" s="749"/>
      <c r="G3" s="756"/>
      <c r="I3" s="346" t="s">
        <v>36</v>
      </c>
      <c r="J3" s="17" t="s">
        <v>481</v>
      </c>
      <c r="K3" s="17" t="s">
        <v>50</v>
      </c>
      <c r="L3" s="17" t="s">
        <v>1332</v>
      </c>
      <c r="M3" s="17" t="s">
        <v>879</v>
      </c>
      <c r="N3" s="17" t="s">
        <v>1333</v>
      </c>
      <c r="O3" s="17" t="s">
        <v>950</v>
      </c>
      <c r="P3" s="17" t="s">
        <v>1336</v>
      </c>
      <c r="Q3" s="406" t="s">
        <v>1326</v>
      </c>
      <c r="R3" s="345" t="s">
        <v>1337</v>
      </c>
      <c r="S3" s="345" t="s">
        <v>1334</v>
      </c>
      <c r="T3" s="345" t="s">
        <v>1920</v>
      </c>
    </row>
    <row r="4" spans="2:22" ht="18.75" x14ac:dyDescent="0.3">
      <c r="B4" s="759" t="s">
        <v>948</v>
      </c>
      <c r="C4" s="760"/>
      <c r="D4" s="268"/>
      <c r="E4" s="761" t="s">
        <v>949</v>
      </c>
      <c r="F4" s="762"/>
      <c r="G4" s="268"/>
      <c r="I4" s="187" t="s">
        <v>1006</v>
      </c>
      <c r="J4" s="336" t="s">
        <v>2363</v>
      </c>
      <c r="K4" s="333">
        <v>4285170</v>
      </c>
      <c r="L4" s="333">
        <v>0</v>
      </c>
      <c r="M4" s="333">
        <v>0</v>
      </c>
      <c r="N4" s="333">
        <v>0</v>
      </c>
      <c r="O4" s="343">
        <f t="shared" ref="O4:O18" si="0">IF(M4=0,0,M4-K4)-N4</f>
        <v>0</v>
      </c>
      <c r="P4" s="333">
        <f t="shared" ref="P4:P18" si="1">IF(M4=0,K4,0)</f>
        <v>4285170</v>
      </c>
      <c r="Q4" s="403"/>
      <c r="R4" s="347">
        <v>42200</v>
      </c>
      <c r="S4" s="347"/>
      <c r="T4" s="247" t="s">
        <v>2492</v>
      </c>
      <c r="U4" s="247"/>
      <c r="V4" s="247"/>
    </row>
    <row r="5" spans="2:22" x14ac:dyDescent="0.25">
      <c r="B5" s="243"/>
      <c r="C5" s="244"/>
      <c r="D5" s="423"/>
      <c r="E5" s="243"/>
      <c r="F5" s="244"/>
      <c r="G5" s="269"/>
      <c r="I5" s="187" t="s">
        <v>1004</v>
      </c>
      <c r="J5" s="336" t="s">
        <v>2409</v>
      </c>
      <c r="K5" s="333">
        <v>2568848</v>
      </c>
      <c r="L5" s="333">
        <v>0</v>
      </c>
      <c r="M5" s="333">
        <v>0</v>
      </c>
      <c r="N5" s="333">
        <v>0</v>
      </c>
      <c r="O5" s="343">
        <f t="shared" si="0"/>
        <v>0</v>
      </c>
      <c r="P5" s="333">
        <f t="shared" si="1"/>
        <v>2568848</v>
      </c>
      <c r="Q5" s="403"/>
      <c r="R5" s="347">
        <v>42278</v>
      </c>
      <c r="S5" s="347"/>
      <c r="T5" s="247" t="s">
        <v>2492</v>
      </c>
      <c r="U5" s="247"/>
      <c r="V5" s="622"/>
    </row>
    <row r="6" spans="2:22" x14ac:dyDescent="0.25">
      <c r="B6" s="226" t="s">
        <v>951</v>
      </c>
      <c r="C6" s="242">
        <f>SUM(C7:C9)</f>
        <v>4954895</v>
      </c>
      <c r="D6" s="304">
        <f>C6/C30</f>
        <v>7.6010004349091317E-2</v>
      </c>
      <c r="E6" s="226" t="s">
        <v>1329</v>
      </c>
      <c r="F6" s="242">
        <f>F7+F8+F9</f>
        <v>46449143.949943811</v>
      </c>
      <c r="G6" s="271">
        <f>F6/$F$30</f>
        <v>0.71254781667300005</v>
      </c>
      <c r="I6" s="187" t="s">
        <v>1006</v>
      </c>
      <c r="J6" s="336" t="s">
        <v>2356</v>
      </c>
      <c r="K6" s="333">
        <v>240010</v>
      </c>
      <c r="L6" s="333">
        <v>0</v>
      </c>
      <c r="M6" s="333">
        <v>0</v>
      </c>
      <c r="N6" s="333">
        <v>0</v>
      </c>
      <c r="O6" s="343">
        <f t="shared" si="0"/>
        <v>0</v>
      </c>
      <c r="P6" s="333">
        <f t="shared" si="1"/>
        <v>240010</v>
      </c>
      <c r="Q6" s="403"/>
      <c r="R6" s="347">
        <v>42200</v>
      </c>
      <c r="S6" s="347"/>
      <c r="T6" s="247" t="s">
        <v>2492</v>
      </c>
      <c r="U6" s="247"/>
      <c r="V6" s="622"/>
    </row>
    <row r="7" spans="2:22" ht="15" customHeight="1" x14ac:dyDescent="0.25">
      <c r="B7" s="249" t="s">
        <v>30</v>
      </c>
      <c r="C7" s="250">
        <f>'A-P_T50'!C7+EconomiaT51!C16</f>
        <v>3392395</v>
      </c>
      <c r="D7" s="424">
        <f>C7/C30</f>
        <v>5.2040650448462712E-2</v>
      </c>
      <c r="E7" s="425" t="s">
        <v>1029</v>
      </c>
      <c r="F7" s="237">
        <v>300000</v>
      </c>
      <c r="G7" s="272">
        <f>F7/$F$30</f>
        <v>4.6021159234336893E-3</v>
      </c>
      <c r="I7" s="187" t="s">
        <v>1006</v>
      </c>
      <c r="J7" s="336" t="s">
        <v>2373</v>
      </c>
      <c r="K7" s="333">
        <v>1348</v>
      </c>
      <c r="L7" s="333">
        <v>0</v>
      </c>
      <c r="M7" s="333">
        <v>0</v>
      </c>
      <c r="N7" s="333">
        <v>0</v>
      </c>
      <c r="O7" s="343">
        <f t="shared" si="0"/>
        <v>0</v>
      </c>
      <c r="P7" s="333">
        <f t="shared" si="1"/>
        <v>1348</v>
      </c>
      <c r="Q7" s="403"/>
      <c r="R7" s="347">
        <v>42205</v>
      </c>
      <c r="S7" s="347"/>
      <c r="T7" s="247" t="s">
        <v>2492</v>
      </c>
      <c r="U7" s="247"/>
      <c r="V7" s="30"/>
    </row>
    <row r="8" spans="2:22" x14ac:dyDescent="0.25">
      <c r="B8" s="249" t="s">
        <v>11</v>
      </c>
      <c r="C8" s="250">
        <f>'A-P_T50'!C8+EconomiaT51!C20</f>
        <v>1946000</v>
      </c>
      <c r="D8" s="424">
        <f>C8/C30</f>
        <v>2.9852392121998896E-2</v>
      </c>
      <c r="E8" s="425" t="s">
        <v>1602</v>
      </c>
      <c r="F8" s="237">
        <f>'A-P_T50'!F9+'A-P_T50'!F8</f>
        <v>42957864.949943811</v>
      </c>
      <c r="G8" s="272">
        <f>F8/$F$30</f>
        <v>0.65899024774283455</v>
      </c>
      <c r="I8" s="187" t="s">
        <v>1004</v>
      </c>
      <c r="J8" s="336" t="s">
        <v>2407</v>
      </c>
      <c r="K8" s="333">
        <v>2675604</v>
      </c>
      <c r="L8" s="333">
        <v>0</v>
      </c>
      <c r="M8" s="333">
        <v>0</v>
      </c>
      <c r="N8" s="333">
        <v>0</v>
      </c>
      <c r="O8" s="343">
        <f t="shared" si="0"/>
        <v>0</v>
      </c>
      <c r="P8" s="333">
        <f t="shared" si="1"/>
        <v>2675604</v>
      </c>
      <c r="Q8" s="403"/>
      <c r="R8" s="347">
        <v>42267</v>
      </c>
      <c r="S8" s="347"/>
      <c r="T8" s="247" t="s">
        <v>2492</v>
      </c>
      <c r="U8" s="247"/>
      <c r="V8" s="622"/>
    </row>
    <row r="9" spans="2:22" ht="15" customHeight="1" x14ac:dyDescent="0.25">
      <c r="B9" s="245" t="s">
        <v>1026</v>
      </c>
      <c r="C9" s="248">
        <v>-383500</v>
      </c>
      <c r="D9" s="424">
        <f>C9/C30</f>
        <v>-5.883038221370286E-3</v>
      </c>
      <c r="E9" s="425" t="s">
        <v>2590</v>
      </c>
      <c r="F9" s="237">
        <f>'A-P_T50'!F11-25476</f>
        <v>3191279</v>
      </c>
      <c r="G9" s="272">
        <f>F9/$F$30</f>
        <v>4.8955453006731806E-2</v>
      </c>
      <c r="I9" s="187" t="s">
        <v>1006</v>
      </c>
      <c r="J9" s="336" t="s">
        <v>2024</v>
      </c>
      <c r="K9" s="333">
        <v>3329940</v>
      </c>
      <c r="L9" s="333">
        <v>0</v>
      </c>
      <c r="M9" s="333">
        <v>0</v>
      </c>
      <c r="N9" s="333">
        <v>0</v>
      </c>
      <c r="O9" s="343">
        <f t="shared" si="0"/>
        <v>0</v>
      </c>
      <c r="P9" s="333">
        <f t="shared" si="1"/>
        <v>3329940</v>
      </c>
      <c r="Q9" s="403"/>
      <c r="R9" s="347">
        <v>41992</v>
      </c>
      <c r="S9" s="347"/>
      <c r="T9" s="247" t="s">
        <v>2492</v>
      </c>
      <c r="U9" s="247"/>
      <c r="V9" s="378"/>
    </row>
    <row r="10" spans="2:22" ht="15" customHeight="1" x14ac:dyDescent="0.25">
      <c r="B10" s="228"/>
      <c r="C10" s="227"/>
      <c r="D10" s="304"/>
      <c r="E10" s="426"/>
      <c r="F10" s="227"/>
      <c r="G10" s="271"/>
      <c r="I10" s="187" t="s">
        <v>1006</v>
      </c>
      <c r="J10" s="336" t="s">
        <v>2080</v>
      </c>
      <c r="K10" s="333">
        <v>2359404</v>
      </c>
      <c r="L10" s="333">
        <v>0</v>
      </c>
      <c r="M10" s="333">
        <v>0</v>
      </c>
      <c r="N10" s="333">
        <v>0</v>
      </c>
      <c r="O10" s="343">
        <f t="shared" si="0"/>
        <v>0</v>
      </c>
      <c r="P10" s="333">
        <f t="shared" si="1"/>
        <v>2359404</v>
      </c>
      <c r="Q10" s="403"/>
      <c r="R10" s="347">
        <v>42110</v>
      </c>
      <c r="S10" s="347"/>
      <c r="T10" s="247" t="s">
        <v>2492</v>
      </c>
      <c r="U10" s="247"/>
      <c r="V10" s="572"/>
    </row>
    <row r="11" spans="2:22" x14ac:dyDescent="0.25">
      <c r="B11" s="226" t="s">
        <v>481</v>
      </c>
      <c r="C11" s="242">
        <f>SUM(C12:C15)</f>
        <v>37960651</v>
      </c>
      <c r="D11" s="304">
        <f>C11/C30</f>
        <v>0.58233105799504081</v>
      </c>
      <c r="E11" s="226" t="s">
        <v>1677</v>
      </c>
      <c r="F11" s="242">
        <f>SUM(F12:F17)</f>
        <v>2856668.2325946521</v>
      </c>
      <c r="G11" s="271">
        <f t="shared" ref="G11:G17" si="2">F11/$F$30</f>
        <v>4.3822394537303411E-2</v>
      </c>
      <c r="I11" s="187" t="s">
        <v>1004</v>
      </c>
      <c r="J11" s="336" t="s">
        <v>2420</v>
      </c>
      <c r="K11" s="333">
        <v>2883810</v>
      </c>
      <c r="L11" s="333">
        <v>0</v>
      </c>
      <c r="M11" s="333">
        <v>0</v>
      </c>
      <c r="N11" s="333">
        <v>0</v>
      </c>
      <c r="O11" s="343">
        <f t="shared" si="0"/>
        <v>0</v>
      </c>
      <c r="P11" s="333">
        <f t="shared" si="1"/>
        <v>2883810</v>
      </c>
      <c r="Q11" s="403"/>
      <c r="R11" s="347">
        <v>42297</v>
      </c>
      <c r="S11" s="347"/>
      <c r="T11" s="247" t="s">
        <v>2492</v>
      </c>
      <c r="U11" s="247"/>
      <c r="V11" s="622"/>
    </row>
    <row r="12" spans="2:22" x14ac:dyDescent="0.25">
      <c r="B12" s="231" t="s">
        <v>1381</v>
      </c>
      <c r="C12" s="232">
        <f>SUMIF(I4:I489,"S",$P$4:$P$489)</f>
        <v>0</v>
      </c>
      <c r="D12" s="424">
        <f>C12/C30</f>
        <v>0</v>
      </c>
      <c r="E12" s="339" t="s">
        <v>1194</v>
      </c>
      <c r="F12" s="340">
        <f>SUMIF(I4:I489,"J",$O$4:$O$489)</f>
        <v>-929096</v>
      </c>
      <c r="G12" s="272">
        <f t="shared" si="2"/>
        <v>-1.425269165332849E-2</v>
      </c>
      <c r="I12" s="334" t="s">
        <v>1006</v>
      </c>
      <c r="J12" s="337" t="s">
        <v>2518</v>
      </c>
      <c r="K12" s="335">
        <v>1972556</v>
      </c>
      <c r="L12" s="335">
        <v>0</v>
      </c>
      <c r="M12" s="335">
        <v>1122000</v>
      </c>
      <c r="N12" s="335">
        <f>M12-1043460</f>
        <v>78540</v>
      </c>
      <c r="O12" s="335">
        <f t="shared" si="0"/>
        <v>-929096</v>
      </c>
      <c r="P12" s="335">
        <f t="shared" si="1"/>
        <v>0</v>
      </c>
      <c r="Q12" s="405">
        <f t="shared" ref="Q12" si="3">O12/K12</f>
        <v>-0.47101121590464351</v>
      </c>
      <c r="R12" s="348">
        <v>42411</v>
      </c>
      <c r="S12" s="348">
        <v>42708</v>
      </c>
      <c r="T12" s="247" t="s">
        <v>2492</v>
      </c>
      <c r="U12" s="247"/>
      <c r="V12" s="622"/>
    </row>
    <row r="13" spans="2:22" ht="15" customHeight="1" x14ac:dyDescent="0.25">
      <c r="B13" s="231" t="s">
        <v>481</v>
      </c>
      <c r="C13" s="232">
        <f>SUMIF(I4:I489,"J",$P$4:$P$489)</f>
        <v>27407421</v>
      </c>
      <c r="D13" s="424">
        <f>C13/C30</f>
        <v>0.42044043100961309</v>
      </c>
      <c r="E13" s="339" t="s">
        <v>1382</v>
      </c>
      <c r="F13" s="340">
        <f>SUMIF(I4:I489,"S",$O$4:$O$489)</f>
        <v>0</v>
      </c>
      <c r="G13" s="272">
        <f t="shared" si="2"/>
        <v>0</v>
      </c>
      <c r="I13" s="187" t="s">
        <v>1004</v>
      </c>
      <c r="J13" s="336" t="s">
        <v>2519</v>
      </c>
      <c r="K13" s="333">
        <v>2424968</v>
      </c>
      <c r="L13" s="333">
        <v>0</v>
      </c>
      <c r="M13" s="333">
        <v>0</v>
      </c>
      <c r="N13" s="333">
        <v>0</v>
      </c>
      <c r="O13" s="343">
        <f t="shared" si="0"/>
        <v>0</v>
      </c>
      <c r="P13" s="333">
        <f t="shared" si="1"/>
        <v>2424968</v>
      </c>
      <c r="Q13" s="403"/>
      <c r="R13" s="347">
        <v>42411</v>
      </c>
      <c r="S13" s="347"/>
      <c r="T13" s="247" t="s">
        <v>2492</v>
      </c>
      <c r="U13" s="247"/>
      <c r="V13" s="247"/>
    </row>
    <row r="14" spans="2:22" x14ac:dyDescent="0.25">
      <c r="B14" s="231" t="s">
        <v>819</v>
      </c>
      <c r="C14" s="232">
        <f>SUMIF(I4:I489,"E",$P$4:$P$489)</f>
        <v>10553230</v>
      </c>
      <c r="D14" s="424">
        <f>C14/C30</f>
        <v>0.16189062698542775</v>
      </c>
      <c r="E14" s="339" t="s">
        <v>1195</v>
      </c>
      <c r="F14" s="340">
        <f>SUMIF(I4:I489,"C",$O$4:$O$489)</f>
        <v>1681994</v>
      </c>
      <c r="G14" s="272">
        <f t="shared" si="2"/>
        <v>2.5802437901733082E-2</v>
      </c>
      <c r="I14" s="187" t="s">
        <v>1006</v>
      </c>
      <c r="J14" s="336" t="s">
        <v>2532</v>
      </c>
      <c r="K14" s="333">
        <f>2700000+34164</f>
        <v>2734164</v>
      </c>
      <c r="L14" s="333">
        <v>0</v>
      </c>
      <c r="M14" s="333">
        <v>0</v>
      </c>
      <c r="N14" s="333">
        <v>0</v>
      </c>
      <c r="O14" s="343">
        <f t="shared" si="0"/>
        <v>0</v>
      </c>
      <c r="P14" s="333">
        <f t="shared" si="1"/>
        <v>2734164</v>
      </c>
      <c r="Q14" s="403"/>
      <c r="R14" s="347">
        <v>42455</v>
      </c>
      <c r="S14" s="347"/>
      <c r="T14" s="247" t="s">
        <v>2492</v>
      </c>
      <c r="U14" s="247"/>
      <c r="V14" s="247"/>
    </row>
    <row r="15" spans="2:22" x14ac:dyDescent="0.25">
      <c r="B15" s="231" t="s">
        <v>997</v>
      </c>
      <c r="C15" s="232">
        <f>SUMIF(I4:I489,"M",$P$4:$P$489)</f>
        <v>0</v>
      </c>
      <c r="D15" s="424">
        <f>C15/C30</f>
        <v>0</v>
      </c>
      <c r="E15" s="339" t="s">
        <v>1196</v>
      </c>
      <c r="F15" s="340">
        <f>SUMIF(I4:I489,"E",$O$4:$O$489)</f>
        <v>702910</v>
      </c>
      <c r="G15" s="272">
        <f t="shared" si="2"/>
        <v>1.0782911012469249E-2</v>
      </c>
      <c r="I15" s="187" t="s">
        <v>1006</v>
      </c>
      <c r="J15" s="336" t="s">
        <v>2536</v>
      </c>
      <c r="K15" s="333">
        <f>1602420+13164</f>
        <v>1615584</v>
      </c>
      <c r="L15" s="333">
        <v>0</v>
      </c>
      <c r="M15" s="333">
        <v>0</v>
      </c>
      <c r="N15" s="333">
        <v>0</v>
      </c>
      <c r="O15" s="343">
        <f t="shared" si="0"/>
        <v>0</v>
      </c>
      <c r="P15" s="333">
        <f t="shared" si="1"/>
        <v>1615584</v>
      </c>
      <c r="Q15" s="403"/>
      <c r="R15" s="347">
        <v>42480</v>
      </c>
      <c r="S15" s="347"/>
      <c r="T15" s="247" t="s">
        <v>2492</v>
      </c>
      <c r="U15" s="247"/>
      <c r="V15" s="247"/>
    </row>
    <row r="16" spans="2:22" ht="15" customHeight="1" x14ac:dyDescent="0.25">
      <c r="B16" s="235"/>
      <c r="C16" s="236"/>
      <c r="D16" s="304"/>
      <c r="E16" s="339" t="s">
        <v>1197</v>
      </c>
      <c r="F16" s="340">
        <f>SUMIF(I4:I489,"M",$O$4:$O$489)</f>
        <v>0</v>
      </c>
      <c r="G16" s="272">
        <f t="shared" si="2"/>
        <v>0</v>
      </c>
      <c r="I16" s="334" t="s">
        <v>1004</v>
      </c>
      <c r="J16" s="337" t="s">
        <v>2567</v>
      </c>
      <c r="K16" s="335">
        <v>2999420</v>
      </c>
      <c r="L16" s="335">
        <v>0</v>
      </c>
      <c r="M16" s="335">
        <v>3981000</v>
      </c>
      <c r="N16" s="335">
        <f>M16-3702330</f>
        <v>278670</v>
      </c>
      <c r="O16" s="335">
        <f t="shared" si="0"/>
        <v>702910</v>
      </c>
      <c r="P16" s="335">
        <f t="shared" si="1"/>
        <v>0</v>
      </c>
      <c r="Q16" s="405">
        <f t="shared" ref="Q16" si="4">O16/K16</f>
        <v>0.23434864073720921</v>
      </c>
      <c r="R16" s="348">
        <v>42527</v>
      </c>
      <c r="S16" s="348">
        <v>42693</v>
      </c>
      <c r="T16" s="247" t="s">
        <v>2492</v>
      </c>
      <c r="U16" s="247"/>
      <c r="V16" s="247"/>
    </row>
    <row r="17" spans="2:22" x14ac:dyDescent="0.25">
      <c r="B17" s="226" t="s">
        <v>48</v>
      </c>
      <c r="C17" s="260">
        <f>C18+C19</f>
        <v>6427784</v>
      </c>
      <c r="D17" s="304">
        <f>C17/C30</f>
        <v>9.8604690875390824E-2</v>
      </c>
      <c r="E17" s="341" t="s">
        <v>2416</v>
      </c>
      <c r="F17" s="342">
        <f>C23-F23-C9</f>
        <v>1400860.2325946521</v>
      </c>
      <c r="G17" s="272">
        <f t="shared" si="2"/>
        <v>2.1489737276429569E-2</v>
      </c>
      <c r="I17" s="187" t="s">
        <v>1006</v>
      </c>
      <c r="J17" s="336" t="s">
        <v>2584</v>
      </c>
      <c r="K17" s="333">
        <v>2781716</v>
      </c>
      <c r="L17" s="333">
        <v>0</v>
      </c>
      <c r="M17" s="333">
        <v>0</v>
      </c>
      <c r="N17" s="333">
        <v>0</v>
      </c>
      <c r="O17" s="343">
        <f t="shared" si="0"/>
        <v>0</v>
      </c>
      <c r="P17" s="333">
        <f t="shared" si="1"/>
        <v>2781716</v>
      </c>
      <c r="Q17" s="403"/>
      <c r="R17" s="347">
        <v>42630</v>
      </c>
      <c r="S17" s="347"/>
      <c r="T17" s="247" t="s">
        <v>2492</v>
      </c>
      <c r="U17" s="247"/>
      <c r="V17" s="247"/>
    </row>
    <row r="18" spans="2:22" ht="15" customHeight="1" x14ac:dyDescent="0.25">
      <c r="B18" s="231" t="s">
        <v>48</v>
      </c>
      <c r="C18" s="232">
        <f>SUM(M4:M489)</f>
        <v>6873520</v>
      </c>
      <c r="D18" s="424">
        <f>C18/C30</f>
        <v>0.1054424533907512</v>
      </c>
      <c r="E18" s="228"/>
      <c r="F18" s="227"/>
      <c r="G18" s="270"/>
      <c r="I18" s="187" t="s">
        <v>1006</v>
      </c>
      <c r="J18" s="336" t="s">
        <v>2586</v>
      </c>
      <c r="K18" s="333">
        <v>1856085</v>
      </c>
      <c r="L18" s="333">
        <v>0</v>
      </c>
      <c r="M18" s="333">
        <v>0</v>
      </c>
      <c r="N18" s="333">
        <v>0</v>
      </c>
      <c r="O18" s="343">
        <f t="shared" si="0"/>
        <v>0</v>
      </c>
      <c r="P18" s="333">
        <f t="shared" si="1"/>
        <v>1856085</v>
      </c>
      <c r="Q18" s="403"/>
      <c r="R18" s="347">
        <v>42633</v>
      </c>
      <c r="S18" s="347"/>
      <c r="T18" s="247" t="s">
        <v>2492</v>
      </c>
      <c r="U18" s="247"/>
      <c r="V18" s="247"/>
    </row>
    <row r="19" spans="2:22" ht="15" customHeight="1" x14ac:dyDescent="0.25">
      <c r="B19" s="245" t="s">
        <v>5</v>
      </c>
      <c r="C19" s="248">
        <f>SUM(N4:N489)*-1</f>
        <v>-445736</v>
      </c>
      <c r="D19" s="424">
        <f>C19/C30</f>
        <v>-6.8377625153603801E-3</v>
      </c>
      <c r="E19" s="226" t="s">
        <v>1034</v>
      </c>
      <c r="F19" s="260">
        <f>F20+F21</f>
        <v>8204000</v>
      </c>
      <c r="G19" s="271">
        <f>F19/$F$30</f>
        <v>0.12585253011949996</v>
      </c>
      <c r="I19" s="187" t="s">
        <v>1006</v>
      </c>
      <c r="J19" s="336" t="s">
        <v>2592</v>
      </c>
      <c r="K19" s="333">
        <v>2513000</v>
      </c>
      <c r="L19" s="333">
        <v>22020</v>
      </c>
      <c r="M19" s="333">
        <v>0</v>
      </c>
      <c r="N19" s="333">
        <v>0</v>
      </c>
      <c r="O19" s="343">
        <f t="shared" ref="O19" si="5">IF(M19=0,0,M19-K19)-N19</f>
        <v>0</v>
      </c>
      <c r="P19" s="333">
        <f t="shared" ref="P19" si="6">IF(M19=0,K19,0)</f>
        <v>2513000</v>
      </c>
      <c r="Q19" s="403"/>
      <c r="R19" s="347">
        <v>42637</v>
      </c>
      <c r="S19" s="347"/>
      <c r="T19" s="247" t="s">
        <v>2492</v>
      </c>
      <c r="U19" s="247"/>
      <c r="V19" s="247"/>
    </row>
    <row r="20" spans="2:22" ht="15" customHeight="1" x14ac:dyDescent="0.25">
      <c r="B20" s="235"/>
      <c r="C20" s="236"/>
      <c r="D20" s="424"/>
      <c r="E20" s="307" t="s">
        <v>50</v>
      </c>
      <c r="F20" s="427">
        <f>EconomiaT51!C19</f>
        <v>8282672</v>
      </c>
      <c r="G20" s="272">
        <f>F20/$F$30</f>
        <v>0.1270593889992612</v>
      </c>
      <c r="I20" s="187" t="s">
        <v>1006</v>
      </c>
      <c r="J20" s="336" t="s">
        <v>2593</v>
      </c>
      <c r="K20" s="333">
        <v>1691000</v>
      </c>
      <c r="L20" s="333">
        <v>19896</v>
      </c>
      <c r="M20" s="333">
        <v>0</v>
      </c>
      <c r="N20" s="333">
        <v>0</v>
      </c>
      <c r="O20" s="343">
        <f t="shared" ref="O20:O21" si="7">IF(M20=0,0,M20-K20)-N20</f>
        <v>0</v>
      </c>
      <c r="P20" s="333">
        <f t="shared" ref="P20:P21" si="8">IF(M20=0,K20,0)</f>
        <v>1691000</v>
      </c>
      <c r="Q20" s="403"/>
      <c r="R20" s="347">
        <v>42637</v>
      </c>
      <c r="S20" s="347"/>
      <c r="T20" s="247" t="s">
        <v>2492</v>
      </c>
      <c r="V20" s="247"/>
    </row>
    <row r="21" spans="2:22" ht="15" customHeight="1" x14ac:dyDescent="0.25">
      <c r="B21" s="226" t="s">
        <v>1036</v>
      </c>
      <c r="C21" s="242">
        <f>EconomiaT51!C5</f>
        <v>7149121.5889290832</v>
      </c>
      <c r="D21" s="304">
        <f>C21/C30</f>
        <v>0.10967028828394593</v>
      </c>
      <c r="E21" s="245" t="s">
        <v>1140</v>
      </c>
      <c r="F21" s="238">
        <f>SUM(L4:L489)*-1</f>
        <v>-78672</v>
      </c>
      <c r="G21" s="272">
        <f>F21/$F$30</f>
        <v>-1.2068588797612507E-3</v>
      </c>
      <c r="I21" s="334" t="s">
        <v>1003</v>
      </c>
      <c r="J21" s="337" t="s">
        <v>2594</v>
      </c>
      <c r="K21" s="335">
        <v>0</v>
      </c>
      <c r="L21" s="335">
        <v>0</v>
      </c>
      <c r="M21" s="335">
        <v>1000</v>
      </c>
      <c r="N21" s="335">
        <v>50</v>
      </c>
      <c r="O21" s="335">
        <f t="shared" si="7"/>
        <v>950</v>
      </c>
      <c r="P21" s="335">
        <f t="shared" si="8"/>
        <v>0</v>
      </c>
      <c r="Q21" s="405" t="s">
        <v>1327</v>
      </c>
      <c r="R21" s="348">
        <v>42687</v>
      </c>
      <c r="S21" s="348">
        <f>R21+3</f>
        <v>42690</v>
      </c>
      <c r="T21" s="508">
        <f>(S21-R21)/112</f>
        <v>2.6785714285714284E-2</v>
      </c>
      <c r="V21" s="247"/>
    </row>
    <row r="22" spans="2:22" ht="15" customHeight="1" x14ac:dyDescent="0.25">
      <c r="B22" s="226"/>
      <c r="C22" s="242"/>
      <c r="D22" s="304"/>
      <c r="E22" s="235"/>
      <c r="F22" s="636"/>
      <c r="G22" s="637"/>
      <c r="I22" s="334" t="s">
        <v>1003</v>
      </c>
      <c r="J22" s="337" t="s">
        <v>2595</v>
      </c>
      <c r="K22" s="335">
        <v>0</v>
      </c>
      <c r="L22" s="335">
        <v>0</v>
      </c>
      <c r="M22" s="335">
        <v>1505520</v>
      </c>
      <c r="N22" s="335">
        <f>M22-1430244</f>
        <v>75276</v>
      </c>
      <c r="O22" s="335">
        <f t="shared" ref="O22:O23" si="9">IF(M22=0,0,M22-K22)-N22</f>
        <v>1430244</v>
      </c>
      <c r="P22" s="335">
        <f t="shared" ref="P22:P23" si="10">IF(M22=0,K22,0)</f>
        <v>0</v>
      </c>
      <c r="Q22" s="405" t="s">
        <v>1327</v>
      </c>
      <c r="R22" s="348">
        <v>42666</v>
      </c>
      <c r="S22" s="348">
        <f>R22+3</f>
        <v>42669</v>
      </c>
      <c r="T22" s="508">
        <f>(S22-R22)/112</f>
        <v>2.6785714285714284E-2</v>
      </c>
      <c r="V22" s="247"/>
    </row>
    <row r="23" spans="2:22" x14ac:dyDescent="0.25">
      <c r="B23" s="226" t="s">
        <v>1328</v>
      </c>
      <c r="C23" s="242">
        <f>SUM(C24:C28)</f>
        <v>8694954.2325946521</v>
      </c>
      <c r="D23" s="304">
        <f>C23/C30</f>
        <v>0.13338395849653112</v>
      </c>
      <c r="E23" s="226" t="s">
        <v>1601</v>
      </c>
      <c r="F23" s="242">
        <f>SUM(F24:F29)</f>
        <v>7677594</v>
      </c>
      <c r="G23" s="271">
        <f t="shared" ref="G23:G29" si="11">F23/$F$30</f>
        <v>0.11777725867019651</v>
      </c>
      <c r="I23" s="187" t="s">
        <v>1006</v>
      </c>
      <c r="J23" s="336" t="s">
        <v>2596</v>
      </c>
      <c r="K23" s="333">
        <v>951000</v>
      </c>
      <c r="L23" s="333">
        <v>9684</v>
      </c>
      <c r="M23" s="333">
        <v>0</v>
      </c>
      <c r="N23" s="333">
        <v>0</v>
      </c>
      <c r="O23" s="343">
        <f t="shared" si="9"/>
        <v>0</v>
      </c>
      <c r="P23" s="333">
        <f t="shared" si="10"/>
        <v>951000</v>
      </c>
      <c r="Q23" s="403"/>
      <c r="R23" s="347">
        <v>42669</v>
      </c>
      <c r="S23" s="347"/>
      <c r="T23" s="247" t="s">
        <v>2492</v>
      </c>
      <c r="U23" s="247"/>
      <c r="V23" s="247"/>
    </row>
    <row r="24" spans="2:22" x14ac:dyDescent="0.25">
      <c r="B24" s="233" t="s">
        <v>42</v>
      </c>
      <c r="C24" s="234">
        <f>EconomiaT51!C11</f>
        <v>83220</v>
      </c>
      <c r="D24" s="424">
        <f>C24/C30</f>
        <v>1.2766269642306002E-3</v>
      </c>
      <c r="E24" s="307" t="s">
        <v>882</v>
      </c>
      <c r="F24" s="428">
        <f>EconomiaT51!C14</f>
        <v>5616090</v>
      </c>
      <c r="G24" s="272">
        <f t="shared" si="11"/>
        <v>8.6152990721455699E-2</v>
      </c>
      <c r="I24" s="334" t="s">
        <v>1003</v>
      </c>
      <c r="J24" s="337" t="s">
        <v>2597</v>
      </c>
      <c r="K24" s="335">
        <v>0</v>
      </c>
      <c r="L24" s="335">
        <v>0</v>
      </c>
      <c r="M24" s="335">
        <v>55000</v>
      </c>
      <c r="N24" s="335">
        <f>M24*0.05</f>
        <v>2750</v>
      </c>
      <c r="O24" s="335">
        <f t="shared" ref="O24:O25" si="12">IF(M24=0,0,M24-K24)-N24</f>
        <v>52250</v>
      </c>
      <c r="P24" s="335">
        <f t="shared" ref="P24:P25" si="13">IF(M24=0,K24,0)</f>
        <v>0</v>
      </c>
      <c r="Q24" s="405" t="s">
        <v>1327</v>
      </c>
      <c r="R24" s="348">
        <v>42638</v>
      </c>
      <c r="S24" s="348">
        <f>R24+3</f>
        <v>42641</v>
      </c>
      <c r="T24" s="508">
        <f>(S24-R24)/112</f>
        <v>2.6785714285714284E-2</v>
      </c>
      <c r="V24" s="247"/>
    </row>
    <row r="25" spans="2:22" x14ac:dyDescent="0.25">
      <c r="B25" s="233" t="s">
        <v>51</v>
      </c>
      <c r="C25" s="234">
        <f>EconomiaT51!C12</f>
        <v>160000</v>
      </c>
      <c r="D25" s="424">
        <f>C25/C30</f>
        <v>2.4544618394243697E-3</v>
      </c>
      <c r="E25" s="307" t="s">
        <v>29</v>
      </c>
      <c r="F25" s="428">
        <f>EconomiaT51!C15</f>
        <v>665584</v>
      </c>
      <c r="G25" s="272">
        <f t="shared" si="11"/>
        <v>1.0210315749275629E-2</v>
      </c>
      <c r="I25" s="187" t="s">
        <v>1006</v>
      </c>
      <c r="J25" s="336" t="s">
        <v>2601</v>
      </c>
      <c r="K25" s="333">
        <v>3049000</v>
      </c>
      <c r="L25" s="333">
        <v>27072</v>
      </c>
      <c r="M25" s="333">
        <v>0</v>
      </c>
      <c r="N25" s="333">
        <v>0</v>
      </c>
      <c r="O25" s="343">
        <f t="shared" si="12"/>
        <v>0</v>
      </c>
      <c r="P25" s="333">
        <f t="shared" si="13"/>
        <v>3049000</v>
      </c>
      <c r="Q25" s="403"/>
      <c r="R25" s="347">
        <v>42712</v>
      </c>
      <c r="S25" s="347"/>
      <c r="T25" s="247" t="s">
        <v>2492</v>
      </c>
      <c r="U25" s="509"/>
      <c r="V25" s="247"/>
    </row>
    <row r="26" spans="2:22" x14ac:dyDescent="0.25">
      <c r="B26" s="233" t="s">
        <v>0</v>
      </c>
      <c r="C26" s="234">
        <f>EconomiaT51!C6</f>
        <v>5825579</v>
      </c>
      <c r="D26" s="424">
        <f>C26/C30</f>
        <v>8.9366633425324873E-2</v>
      </c>
      <c r="E26" s="307" t="s">
        <v>6</v>
      </c>
      <c r="F26" s="428">
        <f>EconomiaT51!C17</f>
        <v>1093920</v>
      </c>
      <c r="G26" s="272">
        <f t="shared" si="11"/>
        <v>1.6781155503208606E-2</v>
      </c>
      <c r="I26" s="334" t="s">
        <v>1003</v>
      </c>
      <c r="J26" s="337" t="s">
        <v>2602</v>
      </c>
      <c r="K26" s="335">
        <v>0</v>
      </c>
      <c r="L26" s="335">
        <v>0</v>
      </c>
      <c r="M26" s="335">
        <v>209000</v>
      </c>
      <c r="N26" s="335">
        <f>M26*0.05</f>
        <v>10450</v>
      </c>
      <c r="O26" s="335">
        <f t="shared" ref="O26" si="14">IF(M26=0,0,M26-K26)-N26</f>
        <v>198550</v>
      </c>
      <c r="P26" s="335">
        <f t="shared" ref="P26" si="15">IF(M26=0,K26,0)</f>
        <v>0</v>
      </c>
      <c r="Q26" s="405" t="s">
        <v>1327</v>
      </c>
      <c r="R26" s="348">
        <v>42719</v>
      </c>
      <c r="S26" s="348">
        <f>R26+3</f>
        <v>42722</v>
      </c>
      <c r="T26" s="508">
        <f>(S26-R26)/112</f>
        <v>2.6785714285714284E-2</v>
      </c>
      <c r="U26" s="509"/>
      <c r="V26" s="247"/>
    </row>
    <row r="27" spans="2:22" ht="15" customHeight="1" x14ac:dyDescent="0.25">
      <c r="B27" s="233" t="s">
        <v>2</v>
      </c>
      <c r="C27" s="234">
        <f>EconomiaT51!C7</f>
        <v>2480958.2325946526</v>
      </c>
      <c r="D27" s="424">
        <f>C27/C30</f>
        <v>3.8058858169433149E-2</v>
      </c>
      <c r="E27" s="307" t="s">
        <v>8</v>
      </c>
      <c r="F27" s="428">
        <f>EconomiaT51!C18</f>
        <v>240000</v>
      </c>
      <c r="G27" s="272">
        <f t="shared" si="11"/>
        <v>3.6816927387469515E-3</v>
      </c>
      <c r="T27" s="508"/>
      <c r="U27" s="509"/>
    </row>
    <row r="28" spans="2:22" ht="15" customHeight="1" x14ac:dyDescent="0.25">
      <c r="B28" s="233" t="s">
        <v>5</v>
      </c>
      <c r="C28" s="234">
        <f>EconomiaT51!C10</f>
        <v>145197</v>
      </c>
      <c r="D28" s="424">
        <f>C28/C30</f>
        <v>2.2273780981181264E-3</v>
      </c>
      <c r="E28" s="307" t="s">
        <v>818</v>
      </c>
      <c r="F28" s="428">
        <f>EconomiaT51!C21</f>
        <v>62000</v>
      </c>
      <c r="G28" s="272">
        <f t="shared" si="11"/>
        <v>9.5110395750962911E-4</v>
      </c>
      <c r="T28" s="508"/>
      <c r="U28" s="509"/>
    </row>
    <row r="29" spans="2:22" ht="15" customHeight="1" x14ac:dyDescent="0.25">
      <c r="B29" s="226"/>
      <c r="C29" s="242"/>
      <c r="D29" s="304"/>
      <c r="E29" s="431" t="s">
        <v>10</v>
      </c>
      <c r="F29" s="432">
        <f>EconomiaT51!C22</f>
        <v>0</v>
      </c>
      <c r="G29" s="430">
        <f t="shared" si="11"/>
        <v>0</v>
      </c>
      <c r="U29" s="509"/>
    </row>
    <row r="30" spans="2:22" ht="18.75" x14ac:dyDescent="0.3">
      <c r="B30" s="366" t="s">
        <v>291</v>
      </c>
      <c r="C30" s="367">
        <f>C23+C21+C17+C11+C6</f>
        <v>65187405.821523733</v>
      </c>
      <c r="D30" s="639">
        <f>C30/C30</f>
        <v>1</v>
      </c>
      <c r="E30" s="366" t="s">
        <v>291</v>
      </c>
      <c r="F30" s="367">
        <f>F23+F19+F11+F6</f>
        <v>65187406.182538465</v>
      </c>
      <c r="G30" s="43">
        <f>F30/$F$30</f>
        <v>1</v>
      </c>
      <c r="U30" s="509"/>
      <c r="V30" s="622"/>
    </row>
    <row r="31" spans="2:22" ht="15" customHeight="1" x14ac:dyDescent="0.25">
      <c r="D31" s="280"/>
      <c r="E31" s="638" t="s">
        <v>2418</v>
      </c>
      <c r="F31" s="417">
        <f>F30-C30</f>
        <v>0.36101473122835159</v>
      </c>
      <c r="U31" s="509"/>
    </row>
    <row r="32" spans="2:22" x14ac:dyDescent="0.25">
      <c r="H32" s="225"/>
      <c r="U32" s="509"/>
      <c r="V32" s="622"/>
    </row>
    <row r="33" spans="2:22" ht="15" customHeight="1" x14ac:dyDescent="0.25">
      <c r="B33" s="641" t="s">
        <v>2417</v>
      </c>
      <c r="C33" s="640">
        <f>EconomiaT49!C24</f>
        <v>5651581.5889290832</v>
      </c>
      <c r="E33" s="2" t="s">
        <v>2419</v>
      </c>
      <c r="F33" s="212">
        <f>C23-F23</f>
        <v>1017360.2325946521</v>
      </c>
      <c r="G33" s="212"/>
      <c r="U33" s="509"/>
    </row>
    <row r="34" spans="2:22" x14ac:dyDescent="0.25">
      <c r="C34" s="212">
        <f>C33-C21</f>
        <v>-1497540</v>
      </c>
      <c r="U34" s="509"/>
      <c r="V34" s="622"/>
    </row>
    <row r="35" spans="2:22" x14ac:dyDescent="0.25">
      <c r="U35" s="509"/>
      <c r="V35" s="622"/>
    </row>
    <row r="36" spans="2:22" x14ac:dyDescent="0.25">
      <c r="E36" s="225"/>
      <c r="U36" s="633"/>
      <c r="V36" s="622"/>
    </row>
    <row r="37" spans="2:22" ht="14.25" customHeight="1" x14ac:dyDescent="0.25">
      <c r="U37" s="633"/>
    </row>
    <row r="38" spans="2:22" s="2" customFormat="1" x14ac:dyDescent="0.25">
      <c r="B38" s="212"/>
      <c r="C38" s="212"/>
      <c r="D38" s="212"/>
      <c r="E38"/>
      <c r="F38" s="225"/>
      <c r="G38" s="225"/>
      <c r="I38" s="5"/>
      <c r="J38" s="6"/>
      <c r="K38" s="5"/>
      <c r="L38" s="5"/>
      <c r="M38" s="5"/>
      <c r="N38" s="5"/>
      <c r="O38" s="5"/>
      <c r="P38" s="5"/>
      <c r="Q38" s="502"/>
      <c r="R38" s="5"/>
      <c r="S38" s="5"/>
      <c r="T38"/>
      <c r="U38" s="633"/>
      <c r="V38" s="622"/>
    </row>
    <row r="39" spans="2:22" ht="15" customHeight="1" x14ac:dyDescent="0.25">
      <c r="U39" s="633"/>
    </row>
    <row r="40" spans="2:22" ht="15" customHeight="1" x14ac:dyDescent="0.25">
      <c r="U40" s="633"/>
    </row>
    <row r="41" spans="2:22" x14ac:dyDescent="0.25">
      <c r="U41" s="633"/>
      <c r="V41" s="622"/>
    </row>
    <row r="42" spans="2:22" x14ac:dyDescent="0.25">
      <c r="U42" s="633"/>
      <c r="V42" s="622"/>
    </row>
    <row r="43" spans="2:22" ht="15" customHeight="1" x14ac:dyDescent="0.25">
      <c r="U43" s="633"/>
    </row>
    <row r="44" spans="2:22" x14ac:dyDescent="0.25">
      <c r="U44" s="633"/>
      <c r="V44" s="622"/>
    </row>
    <row r="45" spans="2:22" ht="15" customHeight="1" x14ac:dyDescent="0.25">
      <c r="U45" s="509"/>
    </row>
    <row r="46" spans="2:22" x14ac:dyDescent="0.25">
      <c r="U46" s="509"/>
      <c r="V46" s="622"/>
    </row>
    <row r="47" spans="2:22" x14ac:dyDescent="0.25">
      <c r="U47" s="509"/>
      <c r="V47" s="622"/>
    </row>
    <row r="48" spans="2:22" x14ac:dyDescent="0.25">
      <c r="U48" s="509"/>
      <c r="V48" s="622"/>
    </row>
    <row r="49" spans="22:22" ht="15" customHeight="1" x14ac:dyDescent="0.25"/>
    <row r="50" spans="22:22" ht="15" customHeight="1" x14ac:dyDescent="0.25"/>
    <row r="51" spans="22:22" x14ac:dyDescent="0.25">
      <c r="V51" s="622"/>
    </row>
    <row r="52" spans="22:22" x14ac:dyDescent="0.25">
      <c r="V52" s="622"/>
    </row>
    <row r="53" spans="22:22" x14ac:dyDescent="0.25">
      <c r="V53" s="622"/>
    </row>
    <row r="55" spans="22:22" x14ac:dyDescent="0.25">
      <c r="V55" s="622"/>
    </row>
    <row r="60" spans="22:22" x14ac:dyDescent="0.25">
      <c r="V60" s="622"/>
    </row>
    <row r="62" spans="22:22" x14ac:dyDescent="0.25">
      <c r="V62" s="622"/>
    </row>
    <row r="63" spans="22:22" x14ac:dyDescent="0.25">
      <c r="V63" s="622"/>
    </row>
    <row r="64" spans="22:22" x14ac:dyDescent="0.25">
      <c r="V64" s="622"/>
    </row>
    <row r="65" spans="22:22" x14ac:dyDescent="0.25">
      <c r="V65" s="622"/>
    </row>
    <row r="66" spans="22:22" x14ac:dyDescent="0.25">
      <c r="V66" s="622"/>
    </row>
    <row r="68" spans="22:22" x14ac:dyDescent="0.25">
      <c r="V68" s="622"/>
    </row>
    <row r="74" spans="22:22" x14ac:dyDescent="0.25">
      <c r="V74" s="622"/>
    </row>
  </sheetData>
  <autoFilter ref="I3:S16"/>
  <mergeCells count="5">
    <mergeCell ref="B2:G2"/>
    <mergeCell ref="I2:S2"/>
    <mergeCell ref="B3:G3"/>
    <mergeCell ref="B4:C4"/>
    <mergeCell ref="E4:F4"/>
  </mergeCells>
  <conditionalFormatting sqref="F12:F17">
    <cfRule type="cellIs" dxfId="425" priority="156" operator="lessThan">
      <formula>0</formula>
    </cfRule>
    <cfRule type="cellIs" dxfId="424" priority="157" operator="greaterThan">
      <formula>0</formula>
    </cfRule>
  </conditionalFormatting>
  <conditionalFormatting sqref="F33">
    <cfRule type="cellIs" dxfId="423" priority="155" operator="lessThan">
      <formula>0</formula>
    </cfRule>
  </conditionalFormatting>
  <conditionalFormatting sqref="C34">
    <cfRule type="cellIs" dxfId="422" priority="147" operator="greaterThan">
      <formula>0</formula>
    </cfRule>
    <cfRule type="cellIs" dxfId="421" priority="154" operator="lessThan">
      <formula>0</formula>
    </cfRule>
  </conditionalFormatting>
  <conditionalFormatting sqref="O4">
    <cfRule type="cellIs" dxfId="420" priority="152" operator="lessThan">
      <formula>0</formula>
    </cfRule>
    <cfRule type="cellIs" dxfId="419" priority="153" operator="greaterThan">
      <formula>0</formula>
    </cfRule>
  </conditionalFormatting>
  <conditionalFormatting sqref="O5">
    <cfRule type="cellIs" dxfId="418" priority="150" operator="lessThan">
      <formula>0</formula>
    </cfRule>
    <cfRule type="cellIs" dxfId="417" priority="151" operator="greaterThan">
      <formula>0</formula>
    </cfRule>
  </conditionalFormatting>
  <conditionalFormatting sqref="Q5">
    <cfRule type="cellIs" dxfId="416" priority="148" operator="lessThan">
      <formula>0</formula>
    </cfRule>
    <cfRule type="cellIs" dxfId="415" priority="149" operator="greaterThan">
      <formula>0</formula>
    </cfRule>
  </conditionalFormatting>
  <conditionalFormatting sqref="O6">
    <cfRule type="cellIs" dxfId="414" priority="145" operator="lessThan">
      <formula>0</formula>
    </cfRule>
    <cfRule type="cellIs" dxfId="413" priority="146" operator="greaterThan">
      <formula>0</formula>
    </cfRule>
  </conditionalFormatting>
  <conditionalFormatting sqref="O7">
    <cfRule type="cellIs" dxfId="412" priority="143" operator="lessThan">
      <formula>0</formula>
    </cfRule>
    <cfRule type="cellIs" dxfId="411" priority="144" operator="greaterThan">
      <formula>0</formula>
    </cfRule>
  </conditionalFormatting>
  <conditionalFormatting sqref="Q7">
    <cfRule type="cellIs" dxfId="410" priority="141" operator="lessThan">
      <formula>0</formula>
    </cfRule>
    <cfRule type="cellIs" dxfId="409" priority="142" operator="greaterThan">
      <formula>0</formula>
    </cfRule>
  </conditionalFormatting>
  <conditionalFormatting sqref="O8">
    <cfRule type="cellIs" dxfId="408" priority="139" operator="lessThan">
      <formula>0</formula>
    </cfRule>
    <cfRule type="cellIs" dxfId="407" priority="140" operator="greaterThan">
      <formula>0</formula>
    </cfRule>
  </conditionalFormatting>
  <conditionalFormatting sqref="Q8">
    <cfRule type="cellIs" dxfId="406" priority="137" operator="lessThan">
      <formula>0</formula>
    </cfRule>
    <cfRule type="cellIs" dxfId="405" priority="138" operator="greaterThan">
      <formula>0</formula>
    </cfRule>
  </conditionalFormatting>
  <conditionalFormatting sqref="O9">
    <cfRule type="cellIs" dxfId="404" priority="135" operator="lessThan">
      <formula>0</formula>
    </cfRule>
    <cfRule type="cellIs" dxfId="403" priority="136" operator="greaterThan">
      <formula>0</formula>
    </cfRule>
  </conditionalFormatting>
  <conditionalFormatting sqref="Q9">
    <cfRule type="cellIs" dxfId="402" priority="133" operator="lessThan">
      <formula>0</formula>
    </cfRule>
    <cfRule type="cellIs" dxfId="401" priority="134" operator="greaterThan">
      <formula>0</formula>
    </cfRule>
  </conditionalFormatting>
  <conditionalFormatting sqref="O10">
    <cfRule type="cellIs" dxfId="400" priority="131" operator="lessThan">
      <formula>0</formula>
    </cfRule>
    <cfRule type="cellIs" dxfId="399" priority="132" operator="greaterThan">
      <formula>0</formula>
    </cfRule>
  </conditionalFormatting>
  <conditionalFormatting sqref="Q10">
    <cfRule type="cellIs" dxfId="398" priority="129" operator="lessThan">
      <formula>0</formula>
    </cfRule>
    <cfRule type="cellIs" dxfId="397" priority="130" operator="greaterThan">
      <formula>0</formula>
    </cfRule>
  </conditionalFormatting>
  <conditionalFormatting sqref="O11">
    <cfRule type="cellIs" dxfId="396" priority="127" operator="lessThan">
      <formula>0</formula>
    </cfRule>
    <cfRule type="cellIs" dxfId="395" priority="128" operator="greaterThan">
      <formula>0</formula>
    </cfRule>
  </conditionalFormatting>
  <conditionalFormatting sqref="Q11">
    <cfRule type="cellIs" dxfId="394" priority="125" operator="lessThan">
      <formula>0</formula>
    </cfRule>
    <cfRule type="cellIs" dxfId="393" priority="126" operator="greaterThan">
      <formula>0</formula>
    </cfRule>
  </conditionalFormatting>
  <conditionalFormatting sqref="Q6">
    <cfRule type="cellIs" dxfId="392" priority="117" operator="lessThan">
      <formula>0</formula>
    </cfRule>
    <cfRule type="cellIs" dxfId="391" priority="118" operator="greaterThan">
      <formula>0</formula>
    </cfRule>
  </conditionalFormatting>
  <conditionalFormatting sqref="Q4">
    <cfRule type="cellIs" dxfId="390" priority="115" operator="lessThan">
      <formula>0</formula>
    </cfRule>
    <cfRule type="cellIs" dxfId="389" priority="116" operator="greaterThan">
      <formula>0</formula>
    </cfRule>
  </conditionalFormatting>
  <conditionalFormatting sqref="O12">
    <cfRule type="cellIs" dxfId="388" priority="113" operator="lessThan">
      <formula>0</formula>
    </cfRule>
    <cfRule type="cellIs" dxfId="387" priority="114" operator="greaterThan">
      <formula>0</formula>
    </cfRule>
  </conditionalFormatting>
  <conditionalFormatting sqref="O13">
    <cfRule type="cellIs" dxfId="386" priority="109" operator="lessThan">
      <formula>0</formula>
    </cfRule>
    <cfRule type="cellIs" dxfId="385" priority="110" operator="greaterThan">
      <formula>0</formula>
    </cfRule>
  </conditionalFormatting>
  <conditionalFormatting sqref="Q13">
    <cfRule type="cellIs" dxfId="384" priority="107" operator="lessThan">
      <formula>0</formula>
    </cfRule>
    <cfRule type="cellIs" dxfId="383" priority="108" operator="greaterThan">
      <formula>0</formula>
    </cfRule>
  </conditionalFormatting>
  <conditionalFormatting sqref="O14">
    <cfRule type="cellIs" dxfId="382" priority="105" operator="lessThan">
      <formula>0</formula>
    </cfRule>
    <cfRule type="cellIs" dxfId="381" priority="106" operator="greaterThan">
      <formula>0</formula>
    </cfRule>
  </conditionalFormatting>
  <conditionalFormatting sqref="Q14">
    <cfRule type="cellIs" dxfId="380" priority="103" operator="lessThan">
      <formula>0</formula>
    </cfRule>
    <cfRule type="cellIs" dxfId="379" priority="104" operator="greaterThan">
      <formula>0</formula>
    </cfRule>
  </conditionalFormatting>
  <conditionalFormatting sqref="O15">
    <cfRule type="cellIs" dxfId="378" priority="99" operator="lessThan">
      <formula>0</formula>
    </cfRule>
    <cfRule type="cellIs" dxfId="377" priority="100" operator="greaterThan">
      <formula>0</formula>
    </cfRule>
  </conditionalFormatting>
  <conditionalFormatting sqref="Q15">
    <cfRule type="cellIs" dxfId="376" priority="97" operator="lessThan">
      <formula>0</formula>
    </cfRule>
    <cfRule type="cellIs" dxfId="375" priority="98" operator="greaterThan">
      <formula>0</formula>
    </cfRule>
  </conditionalFormatting>
  <conditionalFormatting sqref="O16">
    <cfRule type="cellIs" dxfId="374" priority="81" operator="lessThan">
      <formula>0</formula>
    </cfRule>
    <cfRule type="cellIs" dxfId="373" priority="82" operator="greaterThan">
      <formula>0</formula>
    </cfRule>
  </conditionalFormatting>
  <conditionalFormatting sqref="O17">
    <cfRule type="cellIs" dxfId="372" priority="49" operator="lessThan">
      <formula>0</formula>
    </cfRule>
    <cfRule type="cellIs" dxfId="371" priority="50" operator="greaterThan">
      <formula>0</formula>
    </cfRule>
  </conditionalFormatting>
  <conditionalFormatting sqref="Q17">
    <cfRule type="cellIs" dxfId="370" priority="47" operator="lessThan">
      <formula>0</formula>
    </cfRule>
    <cfRule type="cellIs" dxfId="369" priority="48" operator="greaterThan">
      <formula>0</formula>
    </cfRule>
  </conditionalFormatting>
  <conditionalFormatting sqref="O18">
    <cfRule type="cellIs" dxfId="368" priority="39" operator="lessThan">
      <formula>0</formula>
    </cfRule>
    <cfRule type="cellIs" dxfId="367" priority="40" operator="greaterThan">
      <formula>0</formula>
    </cfRule>
  </conditionalFormatting>
  <conditionalFormatting sqref="Q18">
    <cfRule type="cellIs" dxfId="366" priority="37" operator="lessThan">
      <formula>0</formula>
    </cfRule>
    <cfRule type="cellIs" dxfId="365" priority="38" operator="greaterThan">
      <formula>0</formula>
    </cfRule>
  </conditionalFormatting>
  <conditionalFormatting sqref="O19">
    <cfRule type="cellIs" dxfId="364" priority="35" operator="lessThan">
      <formula>0</formula>
    </cfRule>
    <cfRule type="cellIs" dxfId="363" priority="36" operator="greaterThan">
      <formula>0</formula>
    </cfRule>
  </conditionalFormatting>
  <conditionalFormatting sqref="Q19">
    <cfRule type="cellIs" dxfId="362" priority="33" operator="lessThan">
      <formula>0</formula>
    </cfRule>
    <cfRule type="cellIs" dxfId="361" priority="34" operator="greaterThan">
      <formula>0</formula>
    </cfRule>
  </conditionalFormatting>
  <conditionalFormatting sqref="O20">
    <cfRule type="cellIs" dxfId="360" priority="31" operator="lessThan">
      <formula>0</formula>
    </cfRule>
    <cfRule type="cellIs" dxfId="359" priority="32" operator="greaterThan">
      <formula>0</formula>
    </cfRule>
  </conditionalFormatting>
  <conditionalFormatting sqref="Q20">
    <cfRule type="cellIs" dxfId="358" priority="29" operator="lessThan">
      <formula>0</formula>
    </cfRule>
    <cfRule type="cellIs" dxfId="357" priority="30" operator="greaterThan">
      <formula>0</formula>
    </cfRule>
  </conditionalFormatting>
  <conditionalFormatting sqref="Q16">
    <cfRule type="cellIs" dxfId="356" priority="27" operator="lessThan">
      <formula>0</formula>
    </cfRule>
    <cfRule type="cellIs" dxfId="355" priority="28" operator="greaterThan">
      <formula>0</formula>
    </cfRule>
  </conditionalFormatting>
  <conditionalFormatting sqref="O21">
    <cfRule type="cellIs" dxfId="354" priority="25" operator="lessThan">
      <formula>0</formula>
    </cfRule>
    <cfRule type="cellIs" dxfId="353" priority="26" operator="greaterThan">
      <formula>0</formula>
    </cfRule>
  </conditionalFormatting>
  <conditionalFormatting sqref="Q21">
    <cfRule type="cellIs" dxfId="352" priority="23" operator="lessThan">
      <formula>0</formula>
    </cfRule>
    <cfRule type="cellIs" dxfId="351" priority="24" operator="greaterThan">
      <formula>0</formula>
    </cfRule>
  </conditionalFormatting>
  <conditionalFormatting sqref="O22">
    <cfRule type="cellIs" dxfId="350" priority="21" operator="lessThan">
      <formula>0</formula>
    </cfRule>
    <cfRule type="cellIs" dxfId="349" priority="22" operator="greaterThan">
      <formula>0</formula>
    </cfRule>
  </conditionalFormatting>
  <conditionalFormatting sqref="Q22">
    <cfRule type="cellIs" dxfId="348" priority="19" operator="lessThan">
      <formula>0</formula>
    </cfRule>
    <cfRule type="cellIs" dxfId="347" priority="20" operator="greaterThan">
      <formula>0</formula>
    </cfRule>
  </conditionalFormatting>
  <conditionalFormatting sqref="O23">
    <cfRule type="cellIs" dxfId="346" priority="17" operator="lessThan">
      <formula>0</formula>
    </cfRule>
    <cfRule type="cellIs" dxfId="345" priority="18" operator="greaterThan">
      <formula>0</formula>
    </cfRule>
  </conditionalFormatting>
  <conditionalFormatting sqref="Q23">
    <cfRule type="cellIs" dxfId="344" priority="15" operator="lessThan">
      <formula>0</formula>
    </cfRule>
    <cfRule type="cellIs" dxfId="343" priority="16" operator="greaterThan">
      <formula>0</formula>
    </cfRule>
  </conditionalFormatting>
  <conditionalFormatting sqref="O24">
    <cfRule type="cellIs" dxfId="342" priority="13" operator="lessThan">
      <formula>0</formula>
    </cfRule>
    <cfRule type="cellIs" dxfId="341" priority="14" operator="greaterThan">
      <formula>0</formula>
    </cfRule>
  </conditionalFormatting>
  <conditionalFormatting sqref="Q24">
    <cfRule type="cellIs" dxfId="340" priority="11" operator="lessThan">
      <formula>0</formula>
    </cfRule>
    <cfRule type="cellIs" dxfId="339" priority="12" operator="greaterThan">
      <formula>0</formula>
    </cfRule>
  </conditionalFormatting>
  <conditionalFormatting sqref="Q12">
    <cfRule type="cellIs" dxfId="338" priority="9" operator="lessThan">
      <formula>0</formula>
    </cfRule>
    <cfRule type="cellIs" dxfId="337" priority="10" operator="greaterThan">
      <formula>0</formula>
    </cfRule>
  </conditionalFormatting>
  <conditionalFormatting sqref="O25">
    <cfRule type="cellIs" dxfId="336" priority="7" operator="lessThan">
      <formula>0</formula>
    </cfRule>
    <cfRule type="cellIs" dxfId="335" priority="8" operator="greaterThan">
      <formula>0</formula>
    </cfRule>
  </conditionalFormatting>
  <conditionalFormatting sqref="Q25">
    <cfRule type="cellIs" dxfId="334" priority="5" operator="lessThan">
      <formula>0</formula>
    </cfRule>
    <cfRule type="cellIs" dxfId="333" priority="6" operator="greaterThan">
      <formula>0</formula>
    </cfRule>
  </conditionalFormatting>
  <conditionalFormatting sqref="O26">
    <cfRule type="cellIs" dxfId="332" priority="3" operator="lessThan">
      <formula>0</formula>
    </cfRule>
    <cfRule type="cellIs" dxfId="331" priority="4" operator="greaterThan">
      <formula>0</formula>
    </cfRule>
  </conditionalFormatting>
  <conditionalFormatting sqref="Q26">
    <cfRule type="cellIs" dxfId="330" priority="1" operator="lessThan">
      <formula>0</formula>
    </cfRule>
    <cfRule type="cellIs" dxfId="329" priority="2" operator="greaterThan">
      <formula>0</formula>
    </cfRule>
  </conditionalFormatting>
  <pageMargins left="0.7" right="0.7" top="0.75" bottom="0.75" header="0.3" footer="0.3"/>
  <pageSetup paperSize="9"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107"/>
  <sheetViews>
    <sheetView workbookViewId="0">
      <selection activeCell="B2" sqref="B2"/>
    </sheetView>
  </sheetViews>
  <sheetFormatPr baseColWidth="10" defaultColWidth="11.42578125" defaultRowHeight="15" x14ac:dyDescent="0.25"/>
  <cols>
    <col min="7" max="7" width="255.7109375" bestFit="1" customWidth="1"/>
  </cols>
  <sheetData>
    <row r="1" spans="1:7" x14ac:dyDescent="0.25">
      <c r="A1" t="s">
        <v>2169</v>
      </c>
      <c r="G1" t="s">
        <v>2105</v>
      </c>
    </row>
    <row r="3" spans="1:7" x14ac:dyDescent="0.25">
      <c r="A3" t="s">
        <v>2170</v>
      </c>
      <c r="G3" t="s">
        <v>2106</v>
      </c>
    </row>
    <row r="5" spans="1:7" x14ac:dyDescent="0.25">
      <c r="A5" t="s">
        <v>2171</v>
      </c>
      <c r="G5" t="s">
        <v>2107</v>
      </c>
    </row>
    <row r="6" spans="1:7" x14ac:dyDescent="0.25">
      <c r="G6" t="s">
        <v>2108</v>
      </c>
    </row>
    <row r="7" spans="1:7" x14ac:dyDescent="0.25">
      <c r="A7" t="s">
        <v>2172</v>
      </c>
    </row>
    <row r="8" spans="1:7" x14ac:dyDescent="0.25">
      <c r="A8" t="s">
        <v>2173</v>
      </c>
      <c r="G8" t="s">
        <v>2109</v>
      </c>
    </row>
    <row r="9" spans="1:7" x14ac:dyDescent="0.25">
      <c r="G9" t="s">
        <v>2110</v>
      </c>
    </row>
    <row r="10" spans="1:7" x14ac:dyDescent="0.25">
      <c r="A10" t="s">
        <v>2174</v>
      </c>
    </row>
    <row r="11" spans="1:7" x14ac:dyDescent="0.25">
      <c r="A11" t="s">
        <v>2175</v>
      </c>
      <c r="G11" t="s">
        <v>2111</v>
      </c>
    </row>
    <row r="12" spans="1:7" x14ac:dyDescent="0.25">
      <c r="G12" t="s">
        <v>2112</v>
      </c>
    </row>
    <row r="13" spans="1:7" x14ac:dyDescent="0.25">
      <c r="A13" t="s">
        <v>2176</v>
      </c>
    </row>
    <row r="14" spans="1:7" x14ac:dyDescent="0.25">
      <c r="A14" t="s">
        <v>2177</v>
      </c>
      <c r="G14" t="s">
        <v>2113</v>
      </c>
    </row>
    <row r="15" spans="1:7" x14ac:dyDescent="0.25">
      <c r="G15" t="s">
        <v>2114</v>
      </c>
    </row>
    <row r="16" spans="1:7" x14ac:dyDescent="0.25">
      <c r="A16" t="s">
        <v>2178</v>
      </c>
    </row>
    <row r="17" spans="1:7" x14ac:dyDescent="0.25">
      <c r="G17" t="s">
        <v>2115</v>
      </c>
    </row>
    <row r="18" spans="1:7" x14ac:dyDescent="0.25">
      <c r="A18" t="s">
        <v>2179</v>
      </c>
    </row>
    <row r="19" spans="1:7" x14ac:dyDescent="0.25">
      <c r="A19" t="s">
        <v>2180</v>
      </c>
      <c r="G19" t="s">
        <v>2116</v>
      </c>
    </row>
    <row r="20" spans="1:7" x14ac:dyDescent="0.25">
      <c r="G20" t="s">
        <v>2117</v>
      </c>
    </row>
    <row r="21" spans="1:7" x14ac:dyDescent="0.25">
      <c r="A21" t="s">
        <v>2181</v>
      </c>
      <c r="G21" t="s">
        <v>2118</v>
      </c>
    </row>
    <row r="22" spans="1:7" x14ac:dyDescent="0.25">
      <c r="G22" t="s">
        <v>2119</v>
      </c>
    </row>
    <row r="23" spans="1:7" x14ac:dyDescent="0.25">
      <c r="A23" t="s">
        <v>2182</v>
      </c>
      <c r="G23" t="s">
        <v>2120</v>
      </c>
    </row>
    <row r="24" spans="1:7" x14ac:dyDescent="0.25">
      <c r="G24" t="s">
        <v>2121</v>
      </c>
    </row>
    <row r="25" spans="1:7" x14ac:dyDescent="0.25">
      <c r="A25" t="s">
        <v>2183</v>
      </c>
      <c r="G25" t="s">
        <v>2122</v>
      </c>
    </row>
    <row r="26" spans="1:7" x14ac:dyDescent="0.25">
      <c r="A26" t="s">
        <v>2184</v>
      </c>
      <c r="G26" t="s">
        <v>2123</v>
      </c>
    </row>
    <row r="27" spans="1:7" x14ac:dyDescent="0.25">
      <c r="A27" t="s">
        <v>2185</v>
      </c>
      <c r="G27" t="s">
        <v>2124</v>
      </c>
    </row>
    <row r="28" spans="1:7" x14ac:dyDescent="0.25">
      <c r="A28" t="s">
        <v>2186</v>
      </c>
      <c r="G28" t="s">
        <v>2125</v>
      </c>
    </row>
    <row r="29" spans="1:7" x14ac:dyDescent="0.25">
      <c r="A29" t="s">
        <v>2187</v>
      </c>
      <c r="G29" t="s">
        <v>2126</v>
      </c>
    </row>
    <row r="30" spans="1:7" x14ac:dyDescent="0.25">
      <c r="A30" t="s">
        <v>2188</v>
      </c>
      <c r="G30" t="s">
        <v>2127</v>
      </c>
    </row>
    <row r="31" spans="1:7" x14ac:dyDescent="0.25">
      <c r="G31" t="s">
        <v>2128</v>
      </c>
    </row>
    <row r="32" spans="1:7" x14ac:dyDescent="0.25">
      <c r="A32" t="s">
        <v>2189</v>
      </c>
    </row>
    <row r="33" spans="1:7" x14ac:dyDescent="0.25">
      <c r="A33" t="s">
        <v>2190</v>
      </c>
      <c r="G33" t="s">
        <v>2129</v>
      </c>
    </row>
    <row r="34" spans="1:7" x14ac:dyDescent="0.25">
      <c r="A34" t="s">
        <v>2191</v>
      </c>
      <c r="G34" t="e">
        <f>- débil....................................................4 pts</f>
        <v>#NAME?</v>
      </c>
    </row>
    <row r="35" spans="1:7" x14ac:dyDescent="0.25">
      <c r="A35" t="s">
        <v>2192</v>
      </c>
      <c r="G35" t="e">
        <f>- insuficiente...........................................6 pts</f>
        <v>#NAME?</v>
      </c>
    </row>
    <row r="36" spans="1:7" x14ac:dyDescent="0.25">
      <c r="A36" t="s">
        <v>2193</v>
      </c>
      <c r="G36" t="e">
        <f>- aceptable.............................................8 pts</f>
        <v>#NAME?</v>
      </c>
    </row>
    <row r="37" spans="1:7" x14ac:dyDescent="0.25">
      <c r="A37" t="s">
        <v>2194</v>
      </c>
      <c r="G37" t="e">
        <f>- bueno................................................11 pts</f>
        <v>#NAME?</v>
      </c>
    </row>
    <row r="38" spans="1:7" x14ac:dyDescent="0.25">
      <c r="A38" t="s">
        <v>2195</v>
      </c>
      <c r="G38" t="e">
        <f>- excelente...........................................14 pts</f>
        <v>#NAME?</v>
      </c>
    </row>
    <row r="39" spans="1:7" x14ac:dyDescent="0.25">
      <c r="A39" t="s">
        <v>2196</v>
      </c>
      <c r="G39" t="e">
        <f>- formidable..........................................17 pts</f>
        <v>#NAME?</v>
      </c>
    </row>
    <row r="40" spans="1:7" x14ac:dyDescent="0.25">
      <c r="A40" t="s">
        <v>2197</v>
      </c>
      <c r="G40" t="e">
        <f>- destacado...........................................21 pts</f>
        <v>#NAME?</v>
      </c>
    </row>
    <row r="41" spans="1:7" x14ac:dyDescent="0.25">
      <c r="G41" t="e">
        <f>- brillante..............................................25 pts</f>
        <v>#NAME?</v>
      </c>
    </row>
    <row r="42" spans="1:7" x14ac:dyDescent="0.25">
      <c r="A42" t="s">
        <v>2198</v>
      </c>
      <c r="G42" t="e">
        <f>- magnífico............................................29 pts</f>
        <v>#NAME?</v>
      </c>
    </row>
    <row r="43" spans="1:7" x14ac:dyDescent="0.25">
      <c r="A43" t="s">
        <v>2199</v>
      </c>
      <c r="G43" t="e">
        <f>- clase mundial......................................34 pts</f>
        <v>#NAME?</v>
      </c>
    </row>
    <row r="44" spans="1:7" x14ac:dyDescent="0.25">
      <c r="A44" t="s">
        <v>2200</v>
      </c>
      <c r="G44" t="e">
        <f>- sobrenatural........................................39 pts</f>
        <v>#NAME?</v>
      </c>
    </row>
    <row r="45" spans="1:7" x14ac:dyDescent="0.25">
      <c r="A45" t="s">
        <v>2201</v>
      </c>
      <c r="G45" t="e">
        <f>- titánico................................................44 pts</f>
        <v>#NAME?</v>
      </c>
    </row>
    <row r="46" spans="1:7" x14ac:dyDescent="0.25">
      <c r="A46" t="s">
        <v>2202</v>
      </c>
      <c r="G46" t="e">
        <f>- extraterrestre.......................................50 pts</f>
        <v>#NAME?</v>
      </c>
    </row>
    <row r="47" spans="1:7" x14ac:dyDescent="0.25">
      <c r="G47" t="e">
        <f>- mítico..................................................56 pts</f>
        <v>#NAME?</v>
      </c>
    </row>
    <row r="48" spans="1:7" x14ac:dyDescent="0.25">
      <c r="A48" t="s">
        <v>2203</v>
      </c>
      <c r="G48" t="e">
        <f>- mágico................................................63 pts</f>
        <v>#NAME?</v>
      </c>
    </row>
    <row r="49" spans="1:7" x14ac:dyDescent="0.25">
      <c r="A49" t="s">
        <v>2204</v>
      </c>
    </row>
    <row r="50" spans="1:7" x14ac:dyDescent="0.25">
      <c r="A50" t="s">
        <v>2205</v>
      </c>
      <c r="G50" t="s">
        <v>2130</v>
      </c>
    </row>
    <row r="51" spans="1:7" x14ac:dyDescent="0.25">
      <c r="A51" t="s">
        <v>2206</v>
      </c>
    </row>
    <row r="52" spans="1:7" x14ac:dyDescent="0.25">
      <c r="A52" t="s">
        <v>2207</v>
      </c>
      <c r="G52" t="e">
        <f>- Suma cada calificación del partido en formato numérico.</f>
        <v>#NAME?</v>
      </c>
    </row>
    <row r="53" spans="1:7" x14ac:dyDescent="0.25">
      <c r="A53" t="s">
        <v>2208</v>
      </c>
    </row>
    <row r="54" spans="1:7" x14ac:dyDescent="0.25">
      <c r="A54" t="s">
        <v>2209</v>
      </c>
      <c r="G54" t="s">
        <v>2131</v>
      </c>
    </row>
    <row r="55" spans="1:7" x14ac:dyDescent="0.25">
      <c r="A55" t="s">
        <v>2210</v>
      </c>
    </row>
    <row r="56" spans="1:7" x14ac:dyDescent="0.25">
      <c r="A56" t="s">
        <v>2211</v>
      </c>
      <c r="G56" t="s">
        <v>2132</v>
      </c>
    </row>
    <row r="57" spans="1:7" x14ac:dyDescent="0.25">
      <c r="A57" t="s">
        <v>2212</v>
      </c>
      <c r="G57" t="s">
        <v>2133</v>
      </c>
    </row>
    <row r="58" spans="1:7" x14ac:dyDescent="0.25">
      <c r="A58" t="s">
        <v>2213</v>
      </c>
    </row>
    <row r="59" spans="1:7" x14ac:dyDescent="0.25">
      <c r="A59" t="s">
        <v>2214</v>
      </c>
      <c r="G59" t="s">
        <v>2134</v>
      </c>
    </row>
    <row r="61" spans="1:7" x14ac:dyDescent="0.25">
      <c r="A61" t="s">
        <v>2215</v>
      </c>
      <c r="G61" t="s">
        <v>2135</v>
      </c>
    </row>
    <row r="62" spans="1:7" x14ac:dyDescent="0.25">
      <c r="A62" t="s">
        <v>2216</v>
      </c>
      <c r="G62" t="s">
        <v>2136</v>
      </c>
    </row>
    <row r="63" spans="1:7" x14ac:dyDescent="0.25">
      <c r="A63" t="s">
        <v>2217</v>
      </c>
      <c r="G63" t="s">
        <v>2137</v>
      </c>
    </row>
    <row r="64" spans="1:7" x14ac:dyDescent="0.25">
      <c r="A64" t="s">
        <v>2218</v>
      </c>
      <c r="G64" t="s">
        <v>2138</v>
      </c>
    </row>
    <row r="65" spans="1:7" x14ac:dyDescent="0.25">
      <c r="A65" t="s">
        <v>2219</v>
      </c>
    </row>
    <row r="66" spans="1:7" x14ac:dyDescent="0.25">
      <c r="A66" t="s">
        <v>2220</v>
      </c>
      <c r="G66" t="s">
        <v>2139</v>
      </c>
    </row>
    <row r="67" spans="1:7" x14ac:dyDescent="0.25">
      <c r="A67" t="s">
        <v>2221</v>
      </c>
      <c r="G67" t="s">
        <v>2140</v>
      </c>
    </row>
    <row r="68" spans="1:7" x14ac:dyDescent="0.25">
      <c r="G68" t="s">
        <v>2141</v>
      </c>
    </row>
    <row r="69" spans="1:7" x14ac:dyDescent="0.25">
      <c r="A69" t="s">
        <v>2222</v>
      </c>
      <c r="G69" t="s">
        <v>2142</v>
      </c>
    </row>
    <row r="70" spans="1:7" x14ac:dyDescent="0.25">
      <c r="A70" t="s">
        <v>2223</v>
      </c>
      <c r="G70" t="s">
        <v>2143</v>
      </c>
    </row>
    <row r="71" spans="1:7" x14ac:dyDescent="0.25">
      <c r="A71" t="s">
        <v>2224</v>
      </c>
      <c r="G71" t="s">
        <v>2144</v>
      </c>
    </row>
    <row r="72" spans="1:7" x14ac:dyDescent="0.25">
      <c r="A72" t="s">
        <v>2225</v>
      </c>
    </row>
    <row r="73" spans="1:7" x14ac:dyDescent="0.25">
      <c r="A73" t="s">
        <v>2226</v>
      </c>
      <c r="G73" t="s">
        <v>2145</v>
      </c>
    </row>
    <row r="75" spans="1:7" x14ac:dyDescent="0.25">
      <c r="G75" t="s">
        <v>2146</v>
      </c>
    </row>
    <row r="77" spans="1:7" x14ac:dyDescent="0.25">
      <c r="G77" t="s">
        <v>2147</v>
      </c>
    </row>
    <row r="78" spans="1:7" x14ac:dyDescent="0.25">
      <c r="G78" t="s">
        <v>2148</v>
      </c>
    </row>
    <row r="79" spans="1:7" x14ac:dyDescent="0.25">
      <c r="G79" t="s">
        <v>2149</v>
      </c>
    </row>
    <row r="80" spans="1:7" x14ac:dyDescent="0.25">
      <c r="G80" t="s">
        <v>2150</v>
      </c>
    </row>
    <row r="81" spans="7:7" x14ac:dyDescent="0.25">
      <c r="G81" t="s">
        <v>2151</v>
      </c>
    </row>
    <row r="82" spans="7:7" x14ac:dyDescent="0.25">
      <c r="G82" t="s">
        <v>2152</v>
      </c>
    </row>
    <row r="83" spans="7:7" x14ac:dyDescent="0.25">
      <c r="G83" t="s">
        <v>2153</v>
      </c>
    </row>
    <row r="84" spans="7:7" x14ac:dyDescent="0.25">
      <c r="G84" t="s">
        <v>2154</v>
      </c>
    </row>
    <row r="86" spans="7:7" x14ac:dyDescent="0.25">
      <c r="G86" t="s">
        <v>2155</v>
      </c>
    </row>
    <row r="88" spans="7:7" x14ac:dyDescent="0.25">
      <c r="G88" t="s">
        <v>2156</v>
      </c>
    </row>
    <row r="90" spans="7:7" x14ac:dyDescent="0.25">
      <c r="G90" t="s">
        <v>2157</v>
      </c>
    </row>
    <row r="92" spans="7:7" x14ac:dyDescent="0.25">
      <c r="G92" t="s">
        <v>2158</v>
      </c>
    </row>
    <row r="93" spans="7:7" x14ac:dyDescent="0.25">
      <c r="G93" t="s">
        <v>2159</v>
      </c>
    </row>
    <row r="94" spans="7:7" x14ac:dyDescent="0.25">
      <c r="G94" t="s">
        <v>2160</v>
      </c>
    </row>
    <row r="95" spans="7:7" x14ac:dyDescent="0.25">
      <c r="G95" t="s">
        <v>2161</v>
      </c>
    </row>
    <row r="97" spans="7:7" x14ac:dyDescent="0.25">
      <c r="G97" t="s">
        <v>2162</v>
      </c>
    </row>
    <row r="98" spans="7:7" x14ac:dyDescent="0.25">
      <c r="G98" t="s">
        <v>2163</v>
      </c>
    </row>
    <row r="99" spans="7:7" x14ac:dyDescent="0.25">
      <c r="G99" t="s">
        <v>2164</v>
      </c>
    </row>
    <row r="101" spans="7:7" x14ac:dyDescent="0.25">
      <c r="G101" t="s">
        <v>2165</v>
      </c>
    </row>
    <row r="103" spans="7:7" x14ac:dyDescent="0.25">
      <c r="G103" t="s">
        <v>2166</v>
      </c>
    </row>
    <row r="105" spans="7:7" x14ac:dyDescent="0.25">
      <c r="G105" t="s">
        <v>2167</v>
      </c>
    </row>
    <row r="107" spans="7:7" x14ac:dyDescent="0.25">
      <c r="G107" t="s">
        <v>2168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249977111117893"/>
  </sheetPr>
  <dimension ref="A1:X172"/>
  <sheetViews>
    <sheetView zoomScale="80" zoomScaleNormal="80" workbookViewId="0">
      <selection activeCell="C15" sqref="C15"/>
    </sheetView>
  </sheetViews>
  <sheetFormatPr baseColWidth="10" defaultColWidth="11.42578125" defaultRowHeight="15" x14ac:dyDescent="0.25"/>
  <cols>
    <col min="1" max="1" width="16.7109375" customWidth="1"/>
    <col min="2" max="2" width="20.28515625" bestFit="1" customWidth="1"/>
    <col min="3" max="3" width="12.42578125" bestFit="1" customWidth="1"/>
    <col min="4" max="4" width="11.5703125" customWidth="1"/>
    <col min="5" max="5" width="9.85546875" customWidth="1"/>
    <col min="6" max="6" width="12" style="512" bestFit="1" customWidth="1"/>
    <col min="7" max="7" width="12.42578125" style="512" bestFit="1" customWidth="1"/>
    <col min="8" max="8" width="12" style="512" bestFit="1" customWidth="1"/>
    <col min="9" max="9" width="14.85546875" style="512" bestFit="1" customWidth="1"/>
    <col min="10" max="10" width="15.28515625" style="512" bestFit="1" customWidth="1"/>
    <col min="11" max="11" width="7.85546875" style="512" bestFit="1" customWidth="1"/>
    <col min="12" max="12" width="10.28515625" style="512" bestFit="1" customWidth="1"/>
    <col min="13" max="13" width="10.85546875" style="512" bestFit="1" customWidth="1"/>
    <col min="14" max="15" width="11.28515625" style="512" bestFit="1" customWidth="1"/>
    <col min="16" max="16" width="11.42578125" bestFit="1" customWidth="1"/>
    <col min="17" max="17" width="16.42578125" bestFit="1" customWidth="1"/>
    <col min="18" max="18" width="17" bestFit="1" customWidth="1"/>
    <col min="19" max="19" width="15.28515625" bestFit="1" customWidth="1"/>
    <col min="20" max="20" width="16.42578125" bestFit="1" customWidth="1"/>
    <col min="21" max="21" width="17" bestFit="1" customWidth="1"/>
    <col min="22" max="22" width="15.28515625" bestFit="1" customWidth="1"/>
    <col min="23" max="23" width="15.85546875" bestFit="1" customWidth="1"/>
  </cols>
  <sheetData>
    <row r="1" spans="1:21" ht="18.75" x14ac:dyDescent="0.3">
      <c r="A1" s="68" t="s">
        <v>1832</v>
      </c>
      <c r="B1" s="68" t="s">
        <v>52</v>
      </c>
      <c r="C1" s="68" t="s">
        <v>1837</v>
      </c>
      <c r="D1" s="520" t="s">
        <v>1883</v>
      </c>
      <c r="E1" s="537" t="s">
        <v>1916</v>
      </c>
      <c r="F1" s="537" t="s">
        <v>1917</v>
      </c>
    </row>
    <row r="2" spans="1:21" ht="18.75" x14ac:dyDescent="0.3">
      <c r="A2" s="511" t="s">
        <v>561</v>
      </c>
      <c r="B2" s="514">
        <v>1</v>
      </c>
      <c r="C2" s="515">
        <v>0.624</v>
      </c>
      <c r="D2" s="521">
        <v>0.245</v>
      </c>
      <c r="E2" s="532">
        <f>D2*10</f>
        <v>2.4500000000000002</v>
      </c>
      <c r="F2" s="532">
        <f>D2*15</f>
        <v>3.6749999999999998</v>
      </c>
    </row>
    <row r="3" spans="1:21" ht="18.75" x14ac:dyDescent="0.3">
      <c r="A3" s="511" t="s">
        <v>1833</v>
      </c>
      <c r="B3" s="514">
        <v>1</v>
      </c>
      <c r="C3" s="515">
        <v>1.002</v>
      </c>
      <c r="D3" s="521">
        <v>0.34</v>
      </c>
      <c r="E3" s="532">
        <f t="shared" ref="E3:E6" si="0">D3*10</f>
        <v>3.4000000000000004</v>
      </c>
      <c r="F3" s="532">
        <f t="shared" ref="F3:F6" si="1">D3*15</f>
        <v>5.1000000000000005</v>
      </c>
    </row>
    <row r="4" spans="1:21" ht="18.75" x14ac:dyDescent="0.3">
      <c r="A4" s="511" t="s">
        <v>55</v>
      </c>
      <c r="B4" s="514">
        <v>1</v>
      </c>
      <c r="C4" s="515">
        <v>0.46800000000000003</v>
      </c>
      <c r="D4" s="521">
        <v>0.125</v>
      </c>
      <c r="E4" s="532">
        <f t="shared" si="0"/>
        <v>1.25</v>
      </c>
      <c r="F4" s="532">
        <f t="shared" si="1"/>
        <v>1.875</v>
      </c>
    </row>
    <row r="5" spans="1:21" ht="18.75" x14ac:dyDescent="0.3">
      <c r="A5" s="511" t="s">
        <v>1834</v>
      </c>
      <c r="B5" s="514">
        <v>1</v>
      </c>
      <c r="C5" s="515">
        <v>0.877</v>
      </c>
      <c r="D5" s="521">
        <v>0.29099999999999998</v>
      </c>
      <c r="E5" s="532">
        <f t="shared" si="0"/>
        <v>2.9099999999999997</v>
      </c>
      <c r="F5" s="532">
        <f t="shared" si="1"/>
        <v>4.3649999999999993</v>
      </c>
    </row>
    <row r="6" spans="1:21" ht="18.75" x14ac:dyDescent="0.3">
      <c r="A6" s="511" t="s">
        <v>562</v>
      </c>
      <c r="B6" s="514">
        <v>1</v>
      </c>
      <c r="C6" s="515">
        <v>0.59299999999999997</v>
      </c>
      <c r="D6" s="521">
        <v>0.19</v>
      </c>
      <c r="E6" s="532">
        <f t="shared" si="0"/>
        <v>1.9</v>
      </c>
      <c r="F6" s="532">
        <f t="shared" si="1"/>
        <v>2.85</v>
      </c>
    </row>
    <row r="7" spans="1:21" x14ac:dyDescent="0.25">
      <c r="A7" s="516"/>
      <c r="B7" s="517"/>
      <c r="C7" s="517"/>
      <c r="D7" s="517"/>
      <c r="E7" s="517"/>
      <c r="S7" s="532">
        <f>MAX(S10:S21)</f>
        <v>0.24441464753170525</v>
      </c>
      <c r="T7" s="532">
        <f>MIN(T10:T21)</f>
        <v>0.24546628023965728</v>
      </c>
    </row>
    <row r="8" spans="1:21" x14ac:dyDescent="0.25">
      <c r="A8" s="725" t="s">
        <v>1913</v>
      </c>
      <c r="B8" s="725"/>
      <c r="C8" s="725"/>
      <c r="D8" s="725"/>
      <c r="E8" s="725"/>
      <c r="F8" s="725"/>
      <c r="G8" s="725"/>
      <c r="H8" s="725"/>
      <c r="I8" s="725"/>
      <c r="J8" s="725"/>
      <c r="K8" s="725"/>
      <c r="L8" s="725"/>
      <c r="M8" s="725"/>
      <c r="N8" s="725"/>
      <c r="O8" s="725"/>
      <c r="P8" s="725"/>
      <c r="Q8" s="725"/>
      <c r="R8" s="725"/>
      <c r="S8" s="725"/>
      <c r="T8" s="725"/>
    </row>
    <row r="9" spans="1:21" x14ac:dyDescent="0.25">
      <c r="A9" s="536" t="s">
        <v>720</v>
      </c>
      <c r="B9" s="536" t="s">
        <v>1695</v>
      </c>
      <c r="C9" s="536" t="s">
        <v>1909</v>
      </c>
      <c r="D9" s="536" t="s">
        <v>1246</v>
      </c>
      <c r="E9" s="536" t="s">
        <v>689</v>
      </c>
      <c r="F9" s="536" t="s">
        <v>1839</v>
      </c>
      <c r="G9" s="536" t="s">
        <v>1838</v>
      </c>
      <c r="H9" s="536" t="s">
        <v>1910</v>
      </c>
      <c r="I9" s="536" t="s">
        <v>1914</v>
      </c>
      <c r="J9" s="536" t="s">
        <v>1915</v>
      </c>
      <c r="K9" s="16" t="s">
        <v>1890</v>
      </c>
      <c r="L9" s="16" t="s">
        <v>1891</v>
      </c>
      <c r="M9" s="523" t="s">
        <v>1877</v>
      </c>
      <c r="N9" s="523" t="s">
        <v>1878</v>
      </c>
      <c r="O9" s="523" t="s">
        <v>1897</v>
      </c>
      <c r="P9" s="523" t="s">
        <v>1898</v>
      </c>
      <c r="Q9" s="523" t="s">
        <v>1879</v>
      </c>
      <c r="R9" s="523" t="s">
        <v>1880</v>
      </c>
      <c r="S9" s="523" t="s">
        <v>1881</v>
      </c>
      <c r="T9" s="523" t="s">
        <v>1882</v>
      </c>
      <c r="U9" s="523" t="s">
        <v>1899</v>
      </c>
    </row>
    <row r="10" spans="1:21" x14ac:dyDescent="0.25">
      <c r="A10" s="538" t="s">
        <v>1780</v>
      </c>
      <c r="B10" s="524">
        <v>15</v>
      </c>
      <c r="C10" s="524">
        <f>B10+0.1</f>
        <v>15.1</v>
      </c>
      <c r="D10" s="525">
        <v>7</v>
      </c>
      <c r="E10" s="539">
        <v>7.3</v>
      </c>
      <c r="F10" s="531">
        <v>6</v>
      </c>
      <c r="G10" s="531">
        <v>6.99</v>
      </c>
      <c r="H10" s="319">
        <v>1</v>
      </c>
      <c r="I10" s="112">
        <v>3.5</v>
      </c>
      <c r="J10" s="112">
        <v>3.75</v>
      </c>
      <c r="K10" s="113">
        <f>Q10*$D$2*H10</f>
        <v>3.7428766146738868</v>
      </c>
      <c r="L10" s="113">
        <f>R10*$D$2*H10</f>
        <v>4.0643625706616326</v>
      </c>
      <c r="M10" s="49">
        <f>D10/20</f>
        <v>0.35</v>
      </c>
      <c r="N10" s="112">
        <f>LOG(E10)*4/3</f>
        <v>1.1510971468272746</v>
      </c>
      <c r="O10" s="112">
        <f t="shared" ref="O10:O21" si="2">(F10/7)^0.5</f>
        <v>0.92582009977255142</v>
      </c>
      <c r="P10" s="112">
        <f t="shared" ref="P10:P21" si="3">(G10/7)^0.5</f>
        <v>0.99928545900129484</v>
      </c>
      <c r="Q10" s="113">
        <f t="shared" ref="Q10:Q21" si="4">(B10+M10+N10)*O10</f>
        <v>15.277047406832191</v>
      </c>
      <c r="R10" s="113">
        <f t="shared" ref="R10:R21" si="5">(C10+M10+N10)*P10</f>
        <v>16.589234982292378</v>
      </c>
      <c r="S10" s="527">
        <f t="shared" ref="S10:S12" si="6">I10/(R10*H10)</f>
        <v>0.21098019310329605</v>
      </c>
      <c r="T10" s="527">
        <f t="shared" ref="T10:T12" si="7">J10/(Q10*H10)</f>
        <v>0.24546628023965728</v>
      </c>
      <c r="U10" s="533">
        <f>(T10-S10)/S10</f>
        <v>0.16345651517854481</v>
      </c>
    </row>
    <row r="11" spans="1:21" x14ac:dyDescent="0.25">
      <c r="A11" s="538" t="s">
        <v>1780</v>
      </c>
      <c r="B11" s="524">
        <v>15</v>
      </c>
      <c r="C11" s="524">
        <f t="shared" ref="C11:C21" si="8">B11+0.1</f>
        <v>15.1</v>
      </c>
      <c r="D11" s="525">
        <v>7</v>
      </c>
      <c r="E11" s="539">
        <v>7.3</v>
      </c>
      <c r="F11" s="531">
        <v>6</v>
      </c>
      <c r="G11" s="531">
        <v>6.99</v>
      </c>
      <c r="H11" s="319">
        <v>0.72299999999999998</v>
      </c>
      <c r="I11" s="112">
        <v>2.75</v>
      </c>
      <c r="J11" s="112">
        <v>2.99</v>
      </c>
      <c r="K11" s="113">
        <f t="shared" ref="K11:K21" si="9">Q11*$D$2*H11</f>
        <v>2.7060997924092201</v>
      </c>
      <c r="L11" s="113">
        <f t="shared" ref="L11:L21" si="10">R11*$D$2*H11</f>
        <v>2.9385341385883601</v>
      </c>
      <c r="M11" s="49">
        <f>D11/20</f>
        <v>0.35</v>
      </c>
      <c r="N11" s="112">
        <f>LOG(E11)*4/3</f>
        <v>1.1510971468272746</v>
      </c>
      <c r="O11" s="112">
        <f t="shared" si="2"/>
        <v>0.92582009977255142</v>
      </c>
      <c r="P11" s="112">
        <f t="shared" si="3"/>
        <v>0.99928545900129484</v>
      </c>
      <c r="Q11" s="113">
        <f t="shared" si="4"/>
        <v>15.277047406832191</v>
      </c>
      <c r="R11" s="113">
        <f t="shared" si="5"/>
        <v>16.589234982292378</v>
      </c>
      <c r="S11" s="527">
        <f t="shared" si="6"/>
        <v>0.2292809844038981</v>
      </c>
      <c r="T11" s="527">
        <f t="shared" si="7"/>
        <v>0.27070324681109281</v>
      </c>
      <c r="U11" s="533">
        <f>(T11-S11)/S11</f>
        <v>0.18066156909997319</v>
      </c>
    </row>
    <row r="12" spans="1:21" x14ac:dyDescent="0.25">
      <c r="A12" s="538" t="s">
        <v>1780</v>
      </c>
      <c r="B12" s="524">
        <v>15</v>
      </c>
      <c r="C12" s="524">
        <f t="shared" si="8"/>
        <v>15.1</v>
      </c>
      <c r="D12" s="525">
        <v>7</v>
      </c>
      <c r="E12" s="539">
        <v>7.3</v>
      </c>
      <c r="F12" s="531">
        <v>6</v>
      </c>
      <c r="G12" s="531">
        <v>6.99</v>
      </c>
      <c r="H12" s="319">
        <v>0.78400000000000003</v>
      </c>
      <c r="I12" s="112">
        <v>2.75</v>
      </c>
      <c r="J12" s="112">
        <v>2.99</v>
      </c>
      <c r="K12" s="113">
        <f t="shared" si="9"/>
        <v>2.9344152659043274</v>
      </c>
      <c r="L12" s="113">
        <f t="shared" si="10"/>
        <v>3.1864602553987202</v>
      </c>
      <c r="M12" s="49">
        <f>D12/20</f>
        <v>0.35</v>
      </c>
      <c r="N12" s="112">
        <f>LOG(E12)*4/3</f>
        <v>1.1510971468272746</v>
      </c>
      <c r="O12" s="112">
        <f t="shared" si="2"/>
        <v>0.92582009977255142</v>
      </c>
      <c r="P12" s="112">
        <f t="shared" si="3"/>
        <v>0.99928545900129484</v>
      </c>
      <c r="Q12" s="113">
        <f t="shared" si="4"/>
        <v>15.277047406832191</v>
      </c>
      <c r="R12" s="113">
        <f t="shared" si="5"/>
        <v>16.589234982292378</v>
      </c>
      <c r="S12" s="527">
        <f t="shared" si="6"/>
        <v>0.21144152005614583</v>
      </c>
      <c r="T12" s="527">
        <f t="shared" si="7"/>
        <v>0.24964087684237254</v>
      </c>
      <c r="U12" s="533">
        <f>(T12-S12)/S12</f>
        <v>0.18066156909997297</v>
      </c>
    </row>
    <row r="13" spans="1:21" x14ac:dyDescent="0.25">
      <c r="A13" s="538" t="s">
        <v>1760</v>
      </c>
      <c r="B13" s="524">
        <v>13.5</v>
      </c>
      <c r="C13" s="524">
        <v>13.99</v>
      </c>
      <c r="D13" s="525">
        <v>10</v>
      </c>
      <c r="E13" s="524">
        <v>6.8</v>
      </c>
      <c r="F13" s="531">
        <v>7</v>
      </c>
      <c r="G13" s="531">
        <v>7</v>
      </c>
      <c r="H13" s="319">
        <v>1</v>
      </c>
      <c r="I13" s="112">
        <v>3.75</v>
      </c>
      <c r="J13" s="112">
        <v>3.99</v>
      </c>
      <c r="K13" s="113">
        <f t="shared" si="9"/>
        <v>3.701952911484037</v>
      </c>
      <c r="L13" s="113">
        <f t="shared" si="10"/>
        <v>3.8220029114840375</v>
      </c>
      <c r="M13" s="49">
        <f t="shared" ref="M13:M21" si="11">D13/20</f>
        <v>0.5</v>
      </c>
      <c r="N13" s="112">
        <f t="shared" ref="N13:N21" si="12">LOG(E13)*4/3</f>
        <v>1.110011883608315</v>
      </c>
      <c r="O13" s="112">
        <f t="shared" si="2"/>
        <v>1</v>
      </c>
      <c r="P13" s="112">
        <f t="shared" si="3"/>
        <v>1</v>
      </c>
      <c r="Q13" s="113">
        <f t="shared" si="4"/>
        <v>15.110011883608315</v>
      </c>
      <c r="R13" s="113">
        <f t="shared" si="5"/>
        <v>15.600011883608316</v>
      </c>
      <c r="S13" s="527">
        <f t="shared" ref="S13:S14" si="13">I13/(R13*H13)</f>
        <v>0.24038443226702319</v>
      </c>
      <c r="T13" s="527">
        <f t="shared" ref="T13:T14" si="14">J13/(Q13*H13)</f>
        <v>0.26406332640468955</v>
      </c>
      <c r="U13" s="533">
        <f t="shared" ref="U13:U21" si="15">(T13-S13)/S13</f>
        <v>9.8504274650212914E-2</v>
      </c>
    </row>
    <row r="14" spans="1:21" x14ac:dyDescent="0.25">
      <c r="A14" s="538" t="s">
        <v>1760</v>
      </c>
      <c r="B14" s="524">
        <v>13.5</v>
      </c>
      <c r="C14" s="524">
        <v>13.99</v>
      </c>
      <c r="D14" s="525">
        <v>10</v>
      </c>
      <c r="E14" s="524">
        <v>6.8</v>
      </c>
      <c r="F14" s="531">
        <v>7</v>
      </c>
      <c r="G14" s="531">
        <v>7</v>
      </c>
      <c r="H14" s="319">
        <v>0.72299999999999998</v>
      </c>
      <c r="I14" s="112">
        <v>2.75</v>
      </c>
      <c r="J14" s="112">
        <v>2.99</v>
      </c>
      <c r="K14" s="113">
        <f t="shared" si="9"/>
        <v>2.6765119550029586</v>
      </c>
      <c r="L14" s="113">
        <f t="shared" si="10"/>
        <v>2.7633081050029591</v>
      </c>
      <c r="M14" s="49">
        <f t="shared" si="11"/>
        <v>0.5</v>
      </c>
      <c r="N14" s="112">
        <f t="shared" si="12"/>
        <v>1.110011883608315</v>
      </c>
      <c r="O14" s="112">
        <f t="shared" si="2"/>
        <v>1</v>
      </c>
      <c r="P14" s="112">
        <f t="shared" si="3"/>
        <v>1</v>
      </c>
      <c r="Q14" s="113">
        <f t="shared" si="4"/>
        <v>15.110011883608315</v>
      </c>
      <c r="R14" s="113">
        <f t="shared" si="5"/>
        <v>15.600011883608316</v>
      </c>
      <c r="S14" s="527">
        <f t="shared" si="13"/>
        <v>0.24382007883238868</v>
      </c>
      <c r="T14" s="527">
        <f t="shared" si="14"/>
        <v>0.27369576983607763</v>
      </c>
      <c r="U14" s="533">
        <f t="shared" si="15"/>
        <v>0.12253170922902805</v>
      </c>
    </row>
    <row r="15" spans="1:21" x14ac:dyDescent="0.25">
      <c r="A15" s="538" t="s">
        <v>1760</v>
      </c>
      <c r="B15" s="524">
        <v>13.5</v>
      </c>
      <c r="C15" s="524">
        <v>13.99</v>
      </c>
      <c r="D15" s="525">
        <v>10</v>
      </c>
      <c r="E15" s="524">
        <v>6.8</v>
      </c>
      <c r="F15" s="531">
        <v>7</v>
      </c>
      <c r="G15" s="531">
        <v>7</v>
      </c>
      <c r="H15" s="319">
        <v>0.78400000000000003</v>
      </c>
      <c r="I15" s="112">
        <v>2.75</v>
      </c>
      <c r="J15" s="112">
        <v>2.99</v>
      </c>
      <c r="K15" s="113">
        <f t="shared" si="9"/>
        <v>2.9023310826034852</v>
      </c>
      <c r="L15" s="113">
        <f t="shared" si="10"/>
        <v>2.9964502826034853</v>
      </c>
      <c r="M15" s="49">
        <f t="shared" si="11"/>
        <v>0.5</v>
      </c>
      <c r="N15" s="112">
        <f t="shared" si="12"/>
        <v>1.110011883608315</v>
      </c>
      <c r="O15" s="112">
        <f t="shared" si="2"/>
        <v>1</v>
      </c>
      <c r="P15" s="112">
        <f t="shared" si="3"/>
        <v>1</v>
      </c>
      <c r="Q15" s="113">
        <f t="shared" si="4"/>
        <v>15.110011883608315</v>
      </c>
      <c r="R15" s="113">
        <f t="shared" si="5"/>
        <v>15.600011883608316</v>
      </c>
      <c r="S15" s="527">
        <f t="shared" ref="S15:S19" si="16">I15/(R15*H15)</f>
        <v>0.22484938392323597</v>
      </c>
      <c r="T15" s="527">
        <f t="shared" ref="T15:T19" si="17">J15/(Q15*H15)</f>
        <v>0.25240056325444404</v>
      </c>
      <c r="U15" s="533">
        <f t="shared" si="15"/>
        <v>0.12253170922902816</v>
      </c>
    </row>
    <row r="16" spans="1:21" x14ac:dyDescent="0.25">
      <c r="A16" s="538" t="s">
        <v>1826</v>
      </c>
      <c r="B16" s="524">
        <v>14</v>
      </c>
      <c r="C16" s="524">
        <f t="shared" si="8"/>
        <v>14.1</v>
      </c>
      <c r="D16" s="525">
        <v>5</v>
      </c>
      <c r="E16" s="524">
        <f>8+(7.5/28)</f>
        <v>8.2678571428571423</v>
      </c>
      <c r="F16" s="112">
        <v>6</v>
      </c>
      <c r="G16" s="112">
        <v>6.99</v>
      </c>
      <c r="H16" s="319">
        <v>1</v>
      </c>
      <c r="I16" s="112">
        <v>3.5</v>
      </c>
      <c r="J16" s="112">
        <v>3.99</v>
      </c>
      <c r="K16" s="113">
        <f t="shared" si="9"/>
        <v>3.5097207661851058</v>
      </c>
      <c r="L16" s="113">
        <f t="shared" si="10"/>
        <v>3.812705419198636</v>
      </c>
      <c r="M16" s="49">
        <f t="shared" si="11"/>
        <v>0.25</v>
      </c>
      <c r="N16" s="112">
        <f t="shared" si="12"/>
        <v>1.2231906186823369</v>
      </c>
      <c r="O16" s="112">
        <f t="shared" si="2"/>
        <v>0.92582009977255142</v>
      </c>
      <c r="P16" s="112">
        <f t="shared" si="3"/>
        <v>0.99928545900129484</v>
      </c>
      <c r="Q16" s="113">
        <f t="shared" si="4"/>
        <v>14.325390882388188</v>
      </c>
      <c r="R16" s="113">
        <f t="shared" si="5"/>
        <v>15.562062935504636</v>
      </c>
      <c r="S16" s="527">
        <f t="shared" si="16"/>
        <v>0.22490591475599275</v>
      </c>
      <c r="T16" s="527">
        <f t="shared" si="17"/>
        <v>0.2785264313384534</v>
      </c>
      <c r="U16" s="533">
        <f t="shared" si="15"/>
        <v>0.238413101054435</v>
      </c>
    </row>
    <row r="17" spans="1:21" x14ac:dyDescent="0.25">
      <c r="A17" s="538" t="s">
        <v>1826</v>
      </c>
      <c r="B17" s="524">
        <v>14</v>
      </c>
      <c r="C17" s="524">
        <f t="shared" si="8"/>
        <v>14.1</v>
      </c>
      <c r="D17" s="525">
        <v>5</v>
      </c>
      <c r="E17" s="524">
        <f>8+(7.5/28)</f>
        <v>8.2678571428571423</v>
      </c>
      <c r="F17" s="112">
        <v>6</v>
      </c>
      <c r="G17" s="112">
        <v>6.99</v>
      </c>
      <c r="H17" s="319">
        <v>0.72299999999999998</v>
      </c>
      <c r="I17" s="112">
        <v>2.75</v>
      </c>
      <c r="J17" s="112">
        <v>2.99</v>
      </c>
      <c r="K17" s="113">
        <f t="shared" si="9"/>
        <v>2.5375281139518315</v>
      </c>
      <c r="L17" s="113">
        <f t="shared" si="10"/>
        <v>2.7565860180806139</v>
      </c>
      <c r="M17" s="49">
        <f t="shared" si="11"/>
        <v>0.25</v>
      </c>
      <c r="N17" s="112">
        <f t="shared" si="12"/>
        <v>1.2231906186823369</v>
      </c>
      <c r="O17" s="112">
        <f t="shared" si="2"/>
        <v>0.92582009977255142</v>
      </c>
      <c r="P17" s="112">
        <f t="shared" si="3"/>
        <v>0.99928545900129484</v>
      </c>
      <c r="Q17" s="113">
        <f t="shared" si="4"/>
        <v>14.325390882388188</v>
      </c>
      <c r="R17" s="113">
        <f t="shared" si="5"/>
        <v>15.562062935504636</v>
      </c>
      <c r="S17" s="527">
        <f t="shared" si="16"/>
        <v>0.24441464753170525</v>
      </c>
      <c r="T17" s="527">
        <f t="shared" si="17"/>
        <v>0.28868645670260568</v>
      </c>
      <c r="U17" s="533">
        <f t="shared" si="15"/>
        <v>0.18113402620502739</v>
      </c>
    </row>
    <row r="18" spans="1:21" x14ac:dyDescent="0.25">
      <c r="A18" s="538" t="s">
        <v>1826</v>
      </c>
      <c r="B18" s="524">
        <v>14</v>
      </c>
      <c r="C18" s="524">
        <f t="shared" si="8"/>
        <v>14.1</v>
      </c>
      <c r="D18" s="525">
        <v>5</v>
      </c>
      <c r="E18" s="524">
        <f>8+(7.5/28)</f>
        <v>8.2678571428571423</v>
      </c>
      <c r="F18" s="112">
        <v>6</v>
      </c>
      <c r="G18" s="112">
        <v>6.99</v>
      </c>
      <c r="H18" s="319">
        <v>0.78400000000000003</v>
      </c>
      <c r="I18" s="112">
        <v>2.75</v>
      </c>
      <c r="J18" s="112">
        <v>2.99</v>
      </c>
      <c r="K18" s="113">
        <f t="shared" si="9"/>
        <v>2.751621080689123</v>
      </c>
      <c r="L18" s="113">
        <f t="shared" si="10"/>
        <v>2.9891610486517308</v>
      </c>
      <c r="M18" s="49">
        <f t="shared" si="11"/>
        <v>0.25</v>
      </c>
      <c r="N18" s="112">
        <f t="shared" si="12"/>
        <v>1.2231906186823369</v>
      </c>
      <c r="O18" s="112">
        <f t="shared" si="2"/>
        <v>0.92582009977255142</v>
      </c>
      <c r="P18" s="112">
        <f t="shared" si="3"/>
        <v>0.99928545900129484</v>
      </c>
      <c r="Q18" s="113">
        <f t="shared" si="4"/>
        <v>14.325390882388188</v>
      </c>
      <c r="R18" s="113">
        <f t="shared" si="5"/>
        <v>15.562062935504636</v>
      </c>
      <c r="S18" s="527">
        <f t="shared" si="16"/>
        <v>0.22539769153752917</v>
      </c>
      <c r="T18" s="527">
        <f t="shared" si="17"/>
        <v>0.26622488290304069</v>
      </c>
      <c r="U18" s="533">
        <f t="shared" si="15"/>
        <v>0.18113402620502753</v>
      </c>
    </row>
    <row r="19" spans="1:21" x14ac:dyDescent="0.25">
      <c r="A19" s="375" t="s">
        <v>1676</v>
      </c>
      <c r="B19" s="524">
        <v>14</v>
      </c>
      <c r="C19" s="524">
        <f t="shared" si="8"/>
        <v>14.1</v>
      </c>
      <c r="D19" s="525">
        <v>18</v>
      </c>
      <c r="E19" s="539">
        <v>4.5</v>
      </c>
      <c r="F19" s="112">
        <v>6</v>
      </c>
      <c r="G19" s="112">
        <v>6.99</v>
      </c>
      <c r="H19" s="319">
        <v>1</v>
      </c>
      <c r="I19" s="112">
        <v>3.5</v>
      </c>
      <c r="J19" s="112">
        <v>3.7498999999999998</v>
      </c>
      <c r="K19" s="113">
        <f t="shared" si="9"/>
        <v>3.5772603172805804</v>
      </c>
      <c r="L19" s="113">
        <f t="shared" si="10"/>
        <v>3.8856043456031975</v>
      </c>
      <c r="M19" s="49">
        <f t="shared" si="11"/>
        <v>0.9</v>
      </c>
      <c r="N19" s="112">
        <f t="shared" si="12"/>
        <v>0.87095001836712493</v>
      </c>
      <c r="O19" s="112">
        <f t="shared" si="2"/>
        <v>0.92582009977255142</v>
      </c>
      <c r="P19" s="112">
        <f t="shared" si="3"/>
        <v>0.99928545900129484</v>
      </c>
      <c r="Q19" s="113">
        <f t="shared" si="4"/>
        <v>14.601062519512574</v>
      </c>
      <c r="R19" s="113">
        <f t="shared" si="5"/>
        <v>15.859609573890602</v>
      </c>
      <c r="S19" s="527">
        <f t="shared" si="16"/>
        <v>0.22068639102957421</v>
      </c>
      <c r="T19" s="527">
        <f t="shared" si="17"/>
        <v>0.25682377532379624</v>
      </c>
      <c r="U19" s="533">
        <f t="shared" si="15"/>
        <v>0.16374994455085931</v>
      </c>
    </row>
    <row r="20" spans="1:21" x14ac:dyDescent="0.25">
      <c r="A20" s="375" t="s">
        <v>1676</v>
      </c>
      <c r="B20" s="524">
        <v>14</v>
      </c>
      <c r="C20" s="524">
        <f t="shared" si="8"/>
        <v>14.1</v>
      </c>
      <c r="D20" s="525">
        <v>18</v>
      </c>
      <c r="E20" s="539">
        <v>4.5</v>
      </c>
      <c r="F20" s="112">
        <v>6</v>
      </c>
      <c r="G20" s="112">
        <v>6.99</v>
      </c>
      <c r="H20" s="319">
        <v>0.72299999999999998</v>
      </c>
      <c r="I20" s="112">
        <v>2.75</v>
      </c>
      <c r="J20" s="112">
        <v>2.99</v>
      </c>
      <c r="K20" s="113">
        <f t="shared" si="9"/>
        <v>2.5863592093938594</v>
      </c>
      <c r="L20" s="113">
        <f t="shared" si="10"/>
        <v>2.8092919418711118</v>
      </c>
      <c r="M20" s="49">
        <f t="shared" si="11"/>
        <v>0.9</v>
      </c>
      <c r="N20" s="112">
        <f t="shared" si="12"/>
        <v>0.87095001836712493</v>
      </c>
      <c r="O20" s="112">
        <f t="shared" si="2"/>
        <v>0.92582009977255142</v>
      </c>
      <c r="P20" s="112">
        <f t="shared" si="3"/>
        <v>0.99928545900129484</v>
      </c>
      <c r="Q20" s="113">
        <f t="shared" si="4"/>
        <v>14.601062519512574</v>
      </c>
      <c r="R20" s="113">
        <f t="shared" si="5"/>
        <v>15.859609573890602</v>
      </c>
      <c r="S20" s="527">
        <f t="shared" ref="S20:S21" si="18">I20/(R20*H20)</f>
        <v>0.239829114930381</v>
      </c>
      <c r="T20" s="527">
        <f t="shared" ref="T20:T21" si="19">J20/(Q20*H20)</f>
        <v>0.28323598568184993</v>
      </c>
      <c r="U20" s="533">
        <f t="shared" si="15"/>
        <v>0.18099083075909833</v>
      </c>
    </row>
    <row r="21" spans="1:21" x14ac:dyDescent="0.25">
      <c r="A21" s="375" t="s">
        <v>1676</v>
      </c>
      <c r="B21" s="524">
        <v>14</v>
      </c>
      <c r="C21" s="524">
        <f t="shared" si="8"/>
        <v>14.1</v>
      </c>
      <c r="D21" s="525">
        <v>18</v>
      </c>
      <c r="E21" s="539">
        <v>4.5</v>
      </c>
      <c r="F21" s="112">
        <v>6</v>
      </c>
      <c r="G21" s="112">
        <v>6.99</v>
      </c>
      <c r="H21" s="319">
        <v>0.78400000000000003</v>
      </c>
      <c r="I21" s="112">
        <v>2.75</v>
      </c>
      <c r="J21" s="112">
        <v>2.99</v>
      </c>
      <c r="K21" s="113">
        <f t="shared" si="9"/>
        <v>2.804572088747975</v>
      </c>
      <c r="L21" s="113">
        <f t="shared" si="10"/>
        <v>3.0463138069529068</v>
      </c>
      <c r="M21" s="49">
        <f t="shared" si="11"/>
        <v>0.9</v>
      </c>
      <c r="N21" s="112">
        <f t="shared" si="12"/>
        <v>0.87095001836712493</v>
      </c>
      <c r="O21" s="112">
        <f t="shared" si="2"/>
        <v>0.92582009977255142</v>
      </c>
      <c r="P21" s="112">
        <f t="shared" si="3"/>
        <v>0.99928545900129484</v>
      </c>
      <c r="Q21" s="113">
        <f t="shared" si="4"/>
        <v>14.601062519512574</v>
      </c>
      <c r="R21" s="113">
        <f t="shared" si="5"/>
        <v>15.859609573890602</v>
      </c>
      <c r="S21" s="527">
        <f t="shared" si="18"/>
        <v>0.22116894144727736</v>
      </c>
      <c r="T21" s="527">
        <f t="shared" si="19"/>
        <v>0.26119849189793054</v>
      </c>
      <c r="U21" s="533">
        <f t="shared" si="15"/>
        <v>0.18099083075909866</v>
      </c>
    </row>
    <row r="22" spans="1:21" x14ac:dyDescent="0.25">
      <c r="F22" s="537"/>
      <c r="G22" s="518"/>
      <c r="H22" s="518"/>
      <c r="I22" s="518"/>
      <c r="J22" s="518"/>
      <c r="K22" s="60"/>
      <c r="L22" s="60"/>
      <c r="M22" s="60"/>
      <c r="N22" s="60"/>
      <c r="O22" s="60"/>
      <c r="S22" s="532">
        <f>MAX(S25:S36)</f>
        <v>0.34787906261508422</v>
      </c>
      <c r="T22" s="532">
        <f>MIN(T25:T36)</f>
        <v>0.34091821184513105</v>
      </c>
      <c r="U22" s="533"/>
    </row>
    <row r="23" spans="1:21" x14ac:dyDescent="0.25">
      <c r="A23" s="725" t="s">
        <v>1908</v>
      </c>
      <c r="B23" s="725"/>
      <c r="C23" s="725"/>
      <c r="D23" s="725"/>
      <c r="E23" s="725"/>
      <c r="F23" s="725"/>
      <c r="G23" s="725"/>
      <c r="H23" s="725"/>
      <c r="I23" s="725"/>
      <c r="J23" s="725"/>
      <c r="K23" s="725"/>
      <c r="L23" s="725"/>
      <c r="M23" s="725"/>
      <c r="N23" s="725"/>
      <c r="O23" s="725"/>
      <c r="P23" s="725"/>
      <c r="Q23" s="725"/>
      <c r="R23" s="725"/>
      <c r="S23" s="725"/>
      <c r="T23" s="725"/>
    </row>
    <row r="24" spans="1:21" x14ac:dyDescent="0.25">
      <c r="A24" s="536" t="s">
        <v>720</v>
      </c>
      <c r="B24" s="536" t="s">
        <v>1695</v>
      </c>
      <c r="C24" s="536" t="s">
        <v>1909</v>
      </c>
      <c r="D24" s="536" t="s">
        <v>1246</v>
      </c>
      <c r="E24" s="536" t="s">
        <v>689</v>
      </c>
      <c r="F24" s="536" t="s">
        <v>1839</v>
      </c>
      <c r="G24" s="536" t="s">
        <v>1838</v>
      </c>
      <c r="H24" s="536" t="s">
        <v>1910</v>
      </c>
      <c r="I24" s="536" t="s">
        <v>1911</v>
      </c>
      <c r="J24" s="536" t="s">
        <v>1912</v>
      </c>
      <c r="K24" s="16" t="s">
        <v>1890</v>
      </c>
      <c r="L24" s="16" t="s">
        <v>1891</v>
      </c>
      <c r="M24" s="523" t="s">
        <v>1877</v>
      </c>
      <c r="N24" s="523" t="s">
        <v>1878</v>
      </c>
      <c r="O24" s="523" t="s">
        <v>1897</v>
      </c>
      <c r="P24" s="523" t="s">
        <v>1898</v>
      </c>
      <c r="Q24" s="523" t="s">
        <v>1879</v>
      </c>
      <c r="R24" s="523" t="s">
        <v>1880</v>
      </c>
      <c r="S24" s="523" t="s">
        <v>1881</v>
      </c>
      <c r="T24" s="523" t="s">
        <v>1882</v>
      </c>
      <c r="U24" s="523" t="s">
        <v>1899</v>
      </c>
    </row>
    <row r="25" spans="1:21" x14ac:dyDescent="0.25">
      <c r="A25" s="538" t="s">
        <v>1780</v>
      </c>
      <c r="B25" s="524">
        <v>15</v>
      </c>
      <c r="C25" s="524">
        <f>B25+0.1</f>
        <v>15.1</v>
      </c>
      <c r="D25" s="525">
        <v>7</v>
      </c>
      <c r="E25" s="539">
        <v>7.3</v>
      </c>
      <c r="F25" s="531">
        <v>6</v>
      </c>
      <c r="G25" s="531">
        <v>6.99</v>
      </c>
      <c r="H25" s="319">
        <v>1</v>
      </c>
      <c r="I25" s="112">
        <v>5</v>
      </c>
      <c r="J25" s="112">
        <v>5.25</v>
      </c>
      <c r="K25" s="113">
        <f>Q25*$D$3*H25</f>
        <v>5.194196118322945</v>
      </c>
      <c r="L25" s="113">
        <f>R25*$D$3*H25</f>
        <v>5.6403398939794087</v>
      </c>
      <c r="M25" s="49">
        <f>D25/20</f>
        <v>0.35</v>
      </c>
      <c r="N25" s="112">
        <f>LOG(E25)*4/3</f>
        <v>1.1510971468272746</v>
      </c>
      <c r="O25" s="112">
        <f t="shared" ref="O25" si="20">(F25/7)^0.5</f>
        <v>0.92582009977255142</v>
      </c>
      <c r="P25" s="112">
        <f t="shared" ref="P25" si="21">(G25/7)^0.5</f>
        <v>0.99928545900129484</v>
      </c>
      <c r="Q25" s="113">
        <f t="shared" ref="Q25" si="22">(B25+M25+N25)*O25</f>
        <v>15.277047406832191</v>
      </c>
      <c r="R25" s="113">
        <f t="shared" ref="R25" si="23">(C25+M25+N25)*P25</f>
        <v>16.589234982292378</v>
      </c>
      <c r="S25" s="527">
        <f t="shared" ref="S25" si="24">I25/(R25*H25)</f>
        <v>0.30140027586185147</v>
      </c>
      <c r="T25" s="527">
        <f t="shared" ref="T25" si="25">J25/(Q25*H25)</f>
        <v>0.34365279233552021</v>
      </c>
      <c r="U25" s="533">
        <f>(T25-S25)/S25</f>
        <v>0.14018738487497409</v>
      </c>
    </row>
    <row r="26" spans="1:21" x14ac:dyDescent="0.25">
      <c r="A26" s="538" t="s">
        <v>1780</v>
      </c>
      <c r="B26" s="524">
        <v>15</v>
      </c>
      <c r="C26" s="524">
        <f t="shared" ref="C26:C36" si="26">B26+0.1</f>
        <v>15.1</v>
      </c>
      <c r="D26" s="525">
        <v>7</v>
      </c>
      <c r="E26" s="539">
        <v>7.3</v>
      </c>
      <c r="F26" s="531">
        <v>6</v>
      </c>
      <c r="G26" s="531">
        <v>6.99</v>
      </c>
      <c r="H26" s="319">
        <v>0.91200000000000003</v>
      </c>
      <c r="I26" s="112">
        <v>4.5</v>
      </c>
      <c r="J26" s="112">
        <v>4.7499000000000002</v>
      </c>
      <c r="K26" s="113">
        <f>Q26*$D$3*H26</f>
        <v>4.7371068599105257</v>
      </c>
      <c r="L26" s="113">
        <f>R26*$D$3*H26</f>
        <v>5.1439899833092211</v>
      </c>
      <c r="M26" s="49">
        <f>D26/20</f>
        <v>0.35</v>
      </c>
      <c r="N26" s="112">
        <f>LOG(E26)*4/3</f>
        <v>1.1510971468272746</v>
      </c>
      <c r="O26" s="112">
        <f t="shared" ref="O26:O27" si="27">(F26/7)^0.5</f>
        <v>0.92582009977255142</v>
      </c>
      <c r="P26" s="112">
        <f t="shared" ref="P26:P27" si="28">(G26/7)^0.5</f>
        <v>0.99928545900129484</v>
      </c>
      <c r="Q26" s="113">
        <f t="shared" ref="Q26:Q27" si="29">(B26+M26+N26)*O26</f>
        <v>15.277047406832191</v>
      </c>
      <c r="R26" s="113">
        <f t="shared" ref="R26:R27" si="30">(C26+M26+N26)*P26</f>
        <v>16.589234982292378</v>
      </c>
      <c r="S26" s="527">
        <f t="shared" ref="S26:S27" si="31">I26/(R26*H26)</f>
        <v>0.29743448275840606</v>
      </c>
      <c r="T26" s="527">
        <f t="shared" ref="T26:T27" si="32">J26/(Q26*H26)</f>
        <v>0.34091821184513105</v>
      </c>
      <c r="U26" s="533">
        <f>(T26-S26)/S26</f>
        <v>0.14619599141114062</v>
      </c>
    </row>
    <row r="27" spans="1:21" x14ac:dyDescent="0.25">
      <c r="A27" s="538" t="s">
        <v>1780</v>
      </c>
      <c r="B27" s="524">
        <v>15</v>
      </c>
      <c r="C27" s="524">
        <f t="shared" si="26"/>
        <v>15.1</v>
      </c>
      <c r="D27" s="525">
        <v>7</v>
      </c>
      <c r="E27" s="539">
        <v>7.3</v>
      </c>
      <c r="F27" s="531">
        <v>6</v>
      </c>
      <c r="G27" s="531">
        <v>6.99</v>
      </c>
      <c r="H27" s="319">
        <v>0.69099999999999995</v>
      </c>
      <c r="I27" s="112">
        <v>3.5</v>
      </c>
      <c r="J27" s="112">
        <v>3.7499899999999999</v>
      </c>
      <c r="K27" s="113">
        <f>Q27*$D$3*H27</f>
        <v>3.5891895177611546</v>
      </c>
      <c r="L27" s="113">
        <f>R27*$D$3*H27</f>
        <v>3.8974748667397709</v>
      </c>
      <c r="M27" s="49">
        <f>D27/20</f>
        <v>0.35</v>
      </c>
      <c r="N27" s="112">
        <f>LOG(E27)*4/3</f>
        <v>1.1510971468272746</v>
      </c>
      <c r="O27" s="112">
        <f t="shared" si="27"/>
        <v>0.92582009977255142</v>
      </c>
      <c r="P27" s="112">
        <f t="shared" si="28"/>
        <v>0.99928545900129484</v>
      </c>
      <c r="Q27" s="113">
        <f t="shared" si="29"/>
        <v>15.277047406832191</v>
      </c>
      <c r="R27" s="113">
        <f t="shared" si="30"/>
        <v>16.589234982292378</v>
      </c>
      <c r="S27" s="527">
        <f t="shared" si="31"/>
        <v>0.30532589450549358</v>
      </c>
      <c r="T27" s="527">
        <f t="shared" si="32"/>
        <v>0.35523245392606367</v>
      </c>
      <c r="U27" s="533">
        <f>(T27-S27)/S27</f>
        <v>0.16345341262783775</v>
      </c>
    </row>
    <row r="28" spans="1:21" x14ac:dyDescent="0.25">
      <c r="A28" s="538" t="s">
        <v>1760</v>
      </c>
      <c r="B28" s="524">
        <v>13.5</v>
      </c>
      <c r="C28" s="524">
        <v>13.99</v>
      </c>
      <c r="D28" s="525">
        <v>10</v>
      </c>
      <c r="E28" s="524">
        <v>6.8</v>
      </c>
      <c r="F28" s="531">
        <v>7</v>
      </c>
      <c r="G28" s="531">
        <v>7</v>
      </c>
      <c r="H28" s="319">
        <v>1</v>
      </c>
      <c r="I28" s="112">
        <v>5.25</v>
      </c>
      <c r="J28" s="112">
        <v>5.4989999999999997</v>
      </c>
      <c r="K28" s="113">
        <f t="shared" ref="K28:K30" si="33">Q28*$D$3*H28</f>
        <v>5.1374040404268273</v>
      </c>
      <c r="L28" s="113">
        <f t="shared" ref="L28:L30" si="34">R28*$D$3*H28</f>
        <v>5.304004040426828</v>
      </c>
      <c r="M28" s="49">
        <f t="shared" ref="M28:M30" si="35">D28/20</f>
        <v>0.5</v>
      </c>
      <c r="N28" s="112">
        <f t="shared" ref="N28:N30" si="36">LOG(E28)*4/3</f>
        <v>1.110011883608315</v>
      </c>
      <c r="O28" s="112">
        <f t="shared" ref="O28:O30" si="37">(F28/7)^0.5</f>
        <v>1</v>
      </c>
      <c r="P28" s="112">
        <f t="shared" ref="P28:P30" si="38">(G28/7)^0.5</f>
        <v>1</v>
      </c>
      <c r="Q28" s="113">
        <f t="shared" ref="Q28:Q30" si="39">(B28+M28+N28)*O28</f>
        <v>15.110011883608315</v>
      </c>
      <c r="R28" s="113">
        <f t="shared" ref="R28:R30" si="40">(C28+M28+N28)*P28</f>
        <v>15.600011883608316</v>
      </c>
      <c r="S28" s="527">
        <f t="shared" ref="S28:S30" si="41">I28/(R28*H28)</f>
        <v>0.33653820517383248</v>
      </c>
      <c r="T28" s="527">
        <f t="shared" ref="T28:T30" si="42">J28/(Q28*H28)</f>
        <v>0.36393088518781641</v>
      </c>
      <c r="U28" s="533">
        <f t="shared" ref="U28:U30" si="43">(T28-S28)/S28</f>
        <v>8.139545404610081E-2</v>
      </c>
    </row>
    <row r="29" spans="1:21" x14ac:dyDescent="0.25">
      <c r="A29" s="538" t="s">
        <v>1760</v>
      </c>
      <c r="B29" s="524">
        <v>13.5</v>
      </c>
      <c r="C29" s="524">
        <v>13.99</v>
      </c>
      <c r="D29" s="525">
        <v>10</v>
      </c>
      <c r="E29" s="524">
        <v>6.8</v>
      </c>
      <c r="F29" s="531">
        <v>7</v>
      </c>
      <c r="G29" s="531">
        <v>7</v>
      </c>
      <c r="H29" s="319">
        <v>0.91200000000000003</v>
      </c>
      <c r="I29" s="112">
        <v>4.75</v>
      </c>
      <c r="J29" s="112">
        <v>4.99</v>
      </c>
      <c r="K29" s="113">
        <f t="shared" si="33"/>
        <v>4.6853124848692671</v>
      </c>
      <c r="L29" s="113">
        <f t="shared" si="34"/>
        <v>4.8372516848692673</v>
      </c>
      <c r="M29" s="49">
        <f t="shared" si="35"/>
        <v>0.5</v>
      </c>
      <c r="N29" s="112">
        <f t="shared" si="36"/>
        <v>1.110011883608315</v>
      </c>
      <c r="O29" s="112">
        <f t="shared" si="37"/>
        <v>1</v>
      </c>
      <c r="P29" s="112">
        <f t="shared" si="38"/>
        <v>1</v>
      </c>
      <c r="Q29" s="113">
        <f t="shared" si="39"/>
        <v>15.110011883608315</v>
      </c>
      <c r="R29" s="113">
        <f t="shared" si="40"/>
        <v>15.600011883608316</v>
      </c>
      <c r="S29" s="527">
        <f t="shared" si="41"/>
        <v>0.33386726703753222</v>
      </c>
      <c r="T29" s="527">
        <f t="shared" si="42"/>
        <v>0.36211031931786725</v>
      </c>
      <c r="U29" s="533">
        <f t="shared" si="43"/>
        <v>8.4593654630898685E-2</v>
      </c>
    </row>
    <row r="30" spans="1:21" x14ac:dyDescent="0.25">
      <c r="A30" s="538" t="s">
        <v>1760</v>
      </c>
      <c r="B30" s="524">
        <v>13.5</v>
      </c>
      <c r="C30" s="524">
        <v>13.99</v>
      </c>
      <c r="D30" s="525">
        <v>10</v>
      </c>
      <c r="E30" s="524">
        <v>6.8</v>
      </c>
      <c r="F30" s="531">
        <v>7</v>
      </c>
      <c r="G30" s="531">
        <v>7</v>
      </c>
      <c r="H30" s="319">
        <v>0.69099999999999995</v>
      </c>
      <c r="I30" s="112">
        <v>3.75</v>
      </c>
      <c r="J30" s="112">
        <v>3.99</v>
      </c>
      <c r="K30" s="113">
        <f t="shared" si="33"/>
        <v>3.5499461919349375</v>
      </c>
      <c r="L30" s="113">
        <f t="shared" si="34"/>
        <v>3.665066791934938</v>
      </c>
      <c r="M30" s="49">
        <f t="shared" si="35"/>
        <v>0.5</v>
      </c>
      <c r="N30" s="112">
        <f t="shared" si="36"/>
        <v>1.110011883608315</v>
      </c>
      <c r="O30" s="112">
        <f t="shared" si="37"/>
        <v>1</v>
      </c>
      <c r="P30" s="112">
        <f t="shared" si="38"/>
        <v>1</v>
      </c>
      <c r="Q30" s="113">
        <f t="shared" si="39"/>
        <v>15.110011883608315</v>
      </c>
      <c r="R30" s="113">
        <f t="shared" si="40"/>
        <v>15.600011883608316</v>
      </c>
      <c r="S30" s="527">
        <f t="shared" si="41"/>
        <v>0.34787906261508422</v>
      </c>
      <c r="T30" s="527">
        <f t="shared" si="42"/>
        <v>0.38214663734397908</v>
      </c>
      <c r="U30" s="533">
        <f t="shared" si="43"/>
        <v>9.8504274650212872E-2</v>
      </c>
    </row>
    <row r="31" spans="1:21" x14ac:dyDescent="0.25">
      <c r="A31" s="538" t="s">
        <v>1826</v>
      </c>
      <c r="B31" s="524">
        <v>14</v>
      </c>
      <c r="C31" s="524">
        <f t="shared" si="26"/>
        <v>14.1</v>
      </c>
      <c r="D31" s="525">
        <v>5</v>
      </c>
      <c r="E31" s="524">
        <f>8+(7.5/28)</f>
        <v>8.2678571428571423</v>
      </c>
      <c r="F31" s="112">
        <v>6</v>
      </c>
      <c r="G31" s="112">
        <v>6.99</v>
      </c>
      <c r="H31" s="319">
        <v>1</v>
      </c>
      <c r="I31" s="112">
        <v>5</v>
      </c>
      <c r="J31" s="112">
        <v>5.25</v>
      </c>
      <c r="K31" s="113">
        <f t="shared" ref="K31:K33" si="44">Q31*$D$3*H31</f>
        <v>4.8706329000119846</v>
      </c>
      <c r="L31" s="113">
        <f t="shared" ref="L31:L33" si="45">R31*$D$3*H31</f>
        <v>5.2911013980715769</v>
      </c>
      <c r="M31" s="49">
        <f t="shared" ref="M31:M33" si="46">D31/20</f>
        <v>0.25</v>
      </c>
      <c r="N31" s="112">
        <f t="shared" ref="N31:N33" si="47">LOG(E31)*4/3</f>
        <v>1.2231906186823369</v>
      </c>
      <c r="O31" s="112">
        <f t="shared" ref="O31:O33" si="48">(F31/7)^0.5</f>
        <v>0.92582009977255142</v>
      </c>
      <c r="P31" s="112">
        <f t="shared" ref="P31:P33" si="49">(G31/7)^0.5</f>
        <v>0.99928545900129484</v>
      </c>
      <c r="Q31" s="113">
        <f t="shared" ref="Q31:Q33" si="50">(B31+M31+N31)*O31</f>
        <v>14.325390882388188</v>
      </c>
      <c r="R31" s="113">
        <f t="shared" ref="R31:R33" si="51">(C31+M31+N31)*P31</f>
        <v>15.562062935504636</v>
      </c>
      <c r="S31" s="527">
        <f t="shared" ref="S31:S33" si="52">I31/(R31*H31)</f>
        <v>0.3212941639371325</v>
      </c>
      <c r="T31" s="527">
        <f t="shared" ref="T31:T33" si="53">J31/(Q31*H31)</f>
        <v>0.36648214649796501</v>
      </c>
      <c r="U31" s="533">
        <f t="shared" ref="U31:U33" si="54">(T31-S31)/S31</f>
        <v>0.14064364570803228</v>
      </c>
    </row>
    <row r="32" spans="1:21" x14ac:dyDescent="0.25">
      <c r="A32" s="538" t="s">
        <v>1826</v>
      </c>
      <c r="B32" s="524">
        <v>14</v>
      </c>
      <c r="C32" s="524">
        <f t="shared" si="26"/>
        <v>14.1</v>
      </c>
      <c r="D32" s="525">
        <v>5</v>
      </c>
      <c r="E32" s="524">
        <f>8+(7.5/28)</f>
        <v>8.2678571428571423</v>
      </c>
      <c r="F32" s="112">
        <v>6</v>
      </c>
      <c r="G32" s="112">
        <v>6.99</v>
      </c>
      <c r="H32" s="319">
        <v>0.91200000000000003</v>
      </c>
      <c r="I32" s="112">
        <v>4.5</v>
      </c>
      <c r="J32" s="112">
        <v>4.75</v>
      </c>
      <c r="K32" s="113">
        <f t="shared" si="44"/>
        <v>4.4420172048109299</v>
      </c>
      <c r="L32" s="113">
        <f t="shared" si="45"/>
        <v>4.8254844750412786</v>
      </c>
      <c r="M32" s="49">
        <f t="shared" si="46"/>
        <v>0.25</v>
      </c>
      <c r="N32" s="112">
        <f t="shared" si="47"/>
        <v>1.2231906186823369</v>
      </c>
      <c r="O32" s="112">
        <f t="shared" si="48"/>
        <v>0.92582009977255142</v>
      </c>
      <c r="P32" s="112">
        <f t="shared" si="49"/>
        <v>0.99928545900129484</v>
      </c>
      <c r="Q32" s="113">
        <f t="shared" si="50"/>
        <v>14.325390882388188</v>
      </c>
      <c r="R32" s="113">
        <f t="shared" si="51"/>
        <v>15.562062935504636</v>
      </c>
      <c r="S32" s="527">
        <f t="shared" si="52"/>
        <v>0.317066609148486</v>
      </c>
      <c r="T32" s="527">
        <f t="shared" si="53"/>
        <v>0.3635735580336954</v>
      </c>
      <c r="U32" s="533">
        <f t="shared" si="54"/>
        <v>0.14667879727262498</v>
      </c>
    </row>
    <row r="33" spans="1:21" x14ac:dyDescent="0.25">
      <c r="A33" s="538" t="s">
        <v>1826</v>
      </c>
      <c r="B33" s="524">
        <v>14</v>
      </c>
      <c r="C33" s="524">
        <f t="shared" si="26"/>
        <v>14.1</v>
      </c>
      <c r="D33" s="525">
        <v>5</v>
      </c>
      <c r="E33" s="524">
        <f>8+(7.5/28)</f>
        <v>8.2678571428571423</v>
      </c>
      <c r="F33" s="112">
        <v>6</v>
      </c>
      <c r="G33" s="112">
        <v>6.99</v>
      </c>
      <c r="H33" s="319">
        <v>0.69099999999999995</v>
      </c>
      <c r="I33" s="112">
        <v>3.5</v>
      </c>
      <c r="J33" s="112">
        <v>3.75</v>
      </c>
      <c r="K33" s="113">
        <f t="shared" si="44"/>
        <v>3.3656073339082813</v>
      </c>
      <c r="L33" s="113">
        <f t="shared" si="45"/>
        <v>3.6561510660674594</v>
      </c>
      <c r="M33" s="49">
        <f t="shared" si="46"/>
        <v>0.25</v>
      </c>
      <c r="N33" s="112">
        <f t="shared" si="47"/>
        <v>1.2231906186823369</v>
      </c>
      <c r="O33" s="112">
        <f t="shared" si="48"/>
        <v>0.92582009977255142</v>
      </c>
      <c r="P33" s="112">
        <f t="shared" si="49"/>
        <v>0.99928545900129484</v>
      </c>
      <c r="Q33" s="113">
        <f t="shared" si="50"/>
        <v>14.325390882388188</v>
      </c>
      <c r="R33" s="113">
        <f t="shared" si="51"/>
        <v>15.562062935504636</v>
      </c>
      <c r="S33" s="527">
        <f t="shared" si="52"/>
        <v>0.32547889255570589</v>
      </c>
      <c r="T33" s="527">
        <f t="shared" si="53"/>
        <v>0.37883207204668701</v>
      </c>
      <c r="U33" s="533">
        <f t="shared" si="54"/>
        <v>0.16392208745717571</v>
      </c>
    </row>
    <row r="34" spans="1:21" x14ac:dyDescent="0.25">
      <c r="A34" s="375" t="s">
        <v>1676</v>
      </c>
      <c r="B34" s="524">
        <v>14</v>
      </c>
      <c r="C34" s="524">
        <f t="shared" si="26"/>
        <v>14.1</v>
      </c>
      <c r="D34" s="525">
        <v>18</v>
      </c>
      <c r="E34" s="539">
        <v>4.5</v>
      </c>
      <c r="F34" s="112">
        <v>6</v>
      </c>
      <c r="G34" s="112">
        <v>6.99</v>
      </c>
      <c r="H34" s="319">
        <v>1</v>
      </c>
      <c r="I34" s="112">
        <v>5</v>
      </c>
      <c r="J34" s="112">
        <v>5.25</v>
      </c>
      <c r="K34" s="113">
        <f t="shared" ref="K34:K36" si="55">Q34*$D$3*H34</f>
        <v>4.9643612566342759</v>
      </c>
      <c r="L34" s="113">
        <f t="shared" ref="L34:L36" si="56">R34*$D$3*H34</f>
        <v>5.392267255122805</v>
      </c>
      <c r="M34" s="49">
        <f t="shared" ref="M34:M36" si="57">D34/20</f>
        <v>0.9</v>
      </c>
      <c r="N34" s="112">
        <f t="shared" ref="N34:N36" si="58">LOG(E34)*4/3</f>
        <v>0.87095001836712493</v>
      </c>
      <c r="O34" s="112">
        <f t="shared" ref="O34:O36" si="59">(F34/7)^0.5</f>
        <v>0.92582009977255142</v>
      </c>
      <c r="P34" s="112">
        <f t="shared" ref="P34:P36" si="60">(G34/7)^0.5</f>
        <v>0.99928545900129484</v>
      </c>
      <c r="Q34" s="113">
        <f t="shared" ref="Q34:Q36" si="61">(B34+M34+N34)*O34</f>
        <v>14.601062519512574</v>
      </c>
      <c r="R34" s="113">
        <f t="shared" ref="R34:R36" si="62">(C34+M34+N34)*P34</f>
        <v>15.859609573890602</v>
      </c>
      <c r="S34" s="527">
        <f t="shared" ref="S34:S36" si="63">I34/(R34*H34)</f>
        <v>0.31526627289939174</v>
      </c>
      <c r="T34" s="527">
        <f t="shared" ref="T34:T36" si="64">J34/(Q34*H34)</f>
        <v>0.359562873796616</v>
      </c>
      <c r="U34" s="533">
        <f t="shared" ref="U34:U36" si="65">(T34-S34)/S34</f>
        <v>0.14050535913608575</v>
      </c>
    </row>
    <row r="35" spans="1:21" x14ac:dyDescent="0.25">
      <c r="A35" s="375" t="s">
        <v>1676</v>
      </c>
      <c r="B35" s="524">
        <v>14</v>
      </c>
      <c r="C35" s="524">
        <f t="shared" si="26"/>
        <v>14.1</v>
      </c>
      <c r="D35" s="525">
        <v>18</v>
      </c>
      <c r="E35" s="539">
        <v>4.5</v>
      </c>
      <c r="F35" s="112">
        <v>6</v>
      </c>
      <c r="G35" s="112">
        <v>6.99</v>
      </c>
      <c r="H35" s="319">
        <v>0.91200000000000003</v>
      </c>
      <c r="I35" s="112">
        <v>4.5</v>
      </c>
      <c r="J35" s="112">
        <v>4.75</v>
      </c>
      <c r="K35" s="113">
        <f t="shared" si="55"/>
        <v>4.5274974660504599</v>
      </c>
      <c r="L35" s="113">
        <f t="shared" si="56"/>
        <v>4.9177477366719984</v>
      </c>
      <c r="M35" s="49">
        <f t="shared" si="57"/>
        <v>0.9</v>
      </c>
      <c r="N35" s="112">
        <f t="shared" si="58"/>
        <v>0.87095001836712493</v>
      </c>
      <c r="O35" s="112">
        <f t="shared" si="59"/>
        <v>0.92582009977255142</v>
      </c>
      <c r="P35" s="112">
        <f t="shared" si="60"/>
        <v>0.99928545900129484</v>
      </c>
      <c r="Q35" s="113">
        <f t="shared" si="61"/>
        <v>14.601062519512574</v>
      </c>
      <c r="R35" s="113">
        <f t="shared" si="62"/>
        <v>15.859609573890602</v>
      </c>
      <c r="S35" s="527">
        <f t="shared" si="63"/>
        <v>0.31111803246650499</v>
      </c>
      <c r="T35" s="527">
        <f t="shared" si="64"/>
        <v>0.35670920019505553</v>
      </c>
      <c r="U35" s="533">
        <f t="shared" si="65"/>
        <v>0.14653977902569468</v>
      </c>
    </row>
    <row r="36" spans="1:21" x14ac:dyDescent="0.25">
      <c r="A36" s="375" t="s">
        <v>1676</v>
      </c>
      <c r="B36" s="524">
        <v>14</v>
      </c>
      <c r="C36" s="524">
        <f t="shared" si="26"/>
        <v>14.1</v>
      </c>
      <c r="D36" s="525">
        <v>18</v>
      </c>
      <c r="E36" s="539">
        <v>4.5</v>
      </c>
      <c r="F36" s="112">
        <v>6</v>
      </c>
      <c r="G36" s="112">
        <v>6.99</v>
      </c>
      <c r="H36" s="319">
        <v>0.69099999999999995</v>
      </c>
      <c r="I36" s="112">
        <v>3.5</v>
      </c>
      <c r="J36" s="112">
        <v>3.75</v>
      </c>
      <c r="K36" s="113">
        <f t="shared" si="55"/>
        <v>3.4303736283342845</v>
      </c>
      <c r="L36" s="113">
        <f t="shared" si="56"/>
        <v>3.7260566732898579</v>
      </c>
      <c r="M36" s="49">
        <f t="shared" si="57"/>
        <v>0.9</v>
      </c>
      <c r="N36" s="112">
        <f t="shared" si="58"/>
        <v>0.87095001836712493</v>
      </c>
      <c r="O36" s="112">
        <f t="shared" si="59"/>
        <v>0.92582009977255142</v>
      </c>
      <c r="P36" s="112">
        <f t="shared" si="60"/>
        <v>0.99928545900129484</v>
      </c>
      <c r="Q36" s="113">
        <f t="shared" si="61"/>
        <v>14.601062519512574</v>
      </c>
      <c r="R36" s="113">
        <f t="shared" si="62"/>
        <v>15.859609573890602</v>
      </c>
      <c r="S36" s="527">
        <f t="shared" si="63"/>
        <v>0.31937249063614215</v>
      </c>
      <c r="T36" s="527">
        <f t="shared" si="64"/>
        <v>0.37167962972567298</v>
      </c>
      <c r="U36" s="533">
        <f t="shared" si="65"/>
        <v>0.16378097871029168</v>
      </c>
    </row>
    <row r="37" spans="1:21" x14ac:dyDescent="0.25">
      <c r="F37" s="537"/>
      <c r="G37" s="518"/>
      <c r="H37" s="518"/>
      <c r="I37" s="518"/>
      <c r="J37" s="518"/>
      <c r="K37" s="60"/>
      <c r="L37" s="60"/>
      <c r="M37" s="60"/>
      <c r="N37" s="60"/>
      <c r="O37" s="60"/>
    </row>
    <row r="38" spans="1:21" x14ac:dyDescent="0.25">
      <c r="A38" s="725" t="s">
        <v>1884</v>
      </c>
      <c r="B38" s="725"/>
      <c r="C38" s="725"/>
      <c r="D38" s="725"/>
      <c r="E38" s="725"/>
      <c r="F38" s="725"/>
      <c r="G38" s="725"/>
      <c r="H38" s="725"/>
      <c r="I38" s="725"/>
      <c r="J38" s="725"/>
      <c r="K38" s="725"/>
      <c r="L38" s="725"/>
      <c r="M38" s="725"/>
      <c r="N38" s="725"/>
      <c r="O38" s="725"/>
      <c r="P38" s="725"/>
      <c r="Q38" s="725"/>
      <c r="R38" s="725"/>
      <c r="S38" s="725"/>
      <c r="T38" s="725"/>
    </row>
    <row r="39" spans="1:21" x14ac:dyDescent="0.25">
      <c r="A39" s="522" t="s">
        <v>720</v>
      </c>
      <c r="B39" s="522" t="s">
        <v>1696</v>
      </c>
      <c r="C39" s="522" t="s">
        <v>1840</v>
      </c>
      <c r="D39" s="522" t="s">
        <v>1246</v>
      </c>
      <c r="E39" s="522" t="s">
        <v>689</v>
      </c>
      <c r="F39" s="522" t="s">
        <v>1839</v>
      </c>
      <c r="G39" s="522" t="s">
        <v>1838</v>
      </c>
      <c r="H39" s="529" t="s">
        <v>1896</v>
      </c>
      <c r="I39" s="522" t="s">
        <v>1835</v>
      </c>
      <c r="J39" s="522" t="s">
        <v>1836</v>
      </c>
      <c r="K39" s="16" t="s">
        <v>1890</v>
      </c>
      <c r="L39" s="16" t="s">
        <v>1891</v>
      </c>
      <c r="M39" s="523" t="s">
        <v>1877</v>
      </c>
      <c r="N39" s="523" t="s">
        <v>1878</v>
      </c>
      <c r="O39" s="523" t="s">
        <v>1897</v>
      </c>
      <c r="P39" s="523" t="s">
        <v>1898</v>
      </c>
      <c r="Q39" s="523" t="s">
        <v>1879</v>
      </c>
      <c r="R39" s="523" t="s">
        <v>1880</v>
      </c>
      <c r="S39" s="523" t="s">
        <v>1881</v>
      </c>
      <c r="T39" s="523" t="s">
        <v>1882</v>
      </c>
      <c r="U39" s="523" t="s">
        <v>1899</v>
      </c>
    </row>
    <row r="40" spans="1:21" x14ac:dyDescent="0.25">
      <c r="A40" s="513" t="s">
        <v>1685</v>
      </c>
      <c r="B40" s="524">
        <v>13</v>
      </c>
      <c r="C40" s="524">
        <f>B40+0.1</f>
        <v>13.1</v>
      </c>
      <c r="D40" s="525">
        <v>17</v>
      </c>
      <c r="E40" s="524">
        <f>6+(21/28)</f>
        <v>6.75</v>
      </c>
      <c r="F40" s="369">
        <v>7</v>
      </c>
      <c r="G40" s="369">
        <v>7</v>
      </c>
      <c r="H40" s="319">
        <v>1</v>
      </c>
      <c r="I40" s="112">
        <v>1.75</v>
      </c>
      <c r="J40" s="112">
        <v>1.99</v>
      </c>
      <c r="K40" s="113">
        <f t="shared" ref="K40:K56" si="66">Q40*$D$4*H40</f>
        <v>1.8694672954718374</v>
      </c>
      <c r="L40" s="113">
        <f t="shared" ref="L40:L56" si="67">R40*$D$4*H40</f>
        <v>1.8819672954718374</v>
      </c>
      <c r="M40" s="49">
        <f>D40/20</f>
        <v>0.85</v>
      </c>
      <c r="N40" s="112">
        <f>LOG(E40)*4/3</f>
        <v>1.1057383637747</v>
      </c>
      <c r="O40" s="112">
        <f t="shared" ref="O40:P42" si="68">(F40/7)^0.5</f>
        <v>1</v>
      </c>
      <c r="P40" s="112">
        <f t="shared" si="68"/>
        <v>1</v>
      </c>
      <c r="Q40" s="113">
        <f t="shared" ref="Q40:Q56" si="69">(B40+M40+N40)*O40</f>
        <v>14.955738363774699</v>
      </c>
      <c r="R40" s="113">
        <f t="shared" ref="R40:R56" si="70">(C40+M40+N40)*P40</f>
        <v>15.055738363774699</v>
      </c>
      <c r="S40" s="526">
        <f t="shared" ref="S40:S56" si="71">I40/(R40*H40)</f>
        <v>0.11623475101099251</v>
      </c>
      <c r="T40" s="526">
        <f t="shared" ref="T40:T56" si="72">J40/(Q40*H40)</f>
        <v>0.13305929480687578</v>
      </c>
      <c r="U40" s="533">
        <f>(T40-S40)/S40</f>
        <v>0.14474624541753567</v>
      </c>
    </row>
    <row r="41" spans="1:21" x14ac:dyDescent="0.25">
      <c r="A41" s="513" t="s">
        <v>1685</v>
      </c>
      <c r="B41" s="524">
        <v>13</v>
      </c>
      <c r="C41" s="524">
        <f>B41+0.1</f>
        <v>13.1</v>
      </c>
      <c r="D41" s="525">
        <v>17</v>
      </c>
      <c r="E41" s="524">
        <f>6+(21/28)</f>
        <v>6.75</v>
      </c>
      <c r="F41" s="369">
        <v>7</v>
      </c>
      <c r="G41" s="369">
        <v>7</v>
      </c>
      <c r="H41" s="319">
        <v>0.94699999999999995</v>
      </c>
      <c r="I41" s="112">
        <v>1.75</v>
      </c>
      <c r="J41" s="112">
        <v>1.99</v>
      </c>
      <c r="K41" s="113">
        <f t="shared" si="66"/>
        <v>1.77038552881183</v>
      </c>
      <c r="L41" s="113">
        <f t="shared" si="67"/>
        <v>1.7822230288118299</v>
      </c>
      <c r="M41" s="49">
        <f>D41/20</f>
        <v>0.85</v>
      </c>
      <c r="N41" s="112">
        <f>LOG(E41)*4/3</f>
        <v>1.1057383637747</v>
      </c>
      <c r="O41" s="112">
        <f t="shared" si="68"/>
        <v>1</v>
      </c>
      <c r="P41" s="112">
        <f t="shared" si="68"/>
        <v>1</v>
      </c>
      <c r="Q41" s="113">
        <f t="shared" si="69"/>
        <v>14.955738363774699</v>
      </c>
      <c r="R41" s="113">
        <f t="shared" si="70"/>
        <v>15.055738363774699</v>
      </c>
      <c r="S41" s="526">
        <f t="shared" si="71"/>
        <v>0.12273996938858767</v>
      </c>
      <c r="T41" s="526">
        <f t="shared" si="72"/>
        <v>0.14050611912024899</v>
      </c>
      <c r="U41" s="533">
        <f t="shared" ref="U41:U56" si="73">(T41-S41)/S41</f>
        <v>0.14474624541753564</v>
      </c>
    </row>
    <row r="42" spans="1:21" x14ac:dyDescent="0.25">
      <c r="A42" s="513" t="s">
        <v>1685</v>
      </c>
      <c r="B42" s="524">
        <v>13</v>
      </c>
      <c r="C42" s="524">
        <f>B42+0.1</f>
        <v>13.1</v>
      </c>
      <c r="D42" s="525">
        <v>17</v>
      </c>
      <c r="E42" s="524">
        <f>6+(21/28)</f>
        <v>6.75</v>
      </c>
      <c r="F42" s="369">
        <v>7</v>
      </c>
      <c r="G42" s="369">
        <v>7</v>
      </c>
      <c r="H42" s="319">
        <v>0.89700000000000002</v>
      </c>
      <c r="I42" s="112">
        <v>1.5</v>
      </c>
      <c r="J42" s="112">
        <v>1.75</v>
      </c>
      <c r="K42" s="113">
        <f t="shared" si="66"/>
        <v>1.6769121640382383</v>
      </c>
      <c r="L42" s="113">
        <f t="shared" si="67"/>
        <v>1.6881246640382381</v>
      </c>
      <c r="M42" s="49">
        <f>D42/20</f>
        <v>0.85</v>
      </c>
      <c r="N42" s="112">
        <f>LOG(E42)*4/3</f>
        <v>1.1057383637747</v>
      </c>
      <c r="O42" s="112">
        <f t="shared" si="68"/>
        <v>1</v>
      </c>
      <c r="P42" s="112">
        <f t="shared" si="68"/>
        <v>1</v>
      </c>
      <c r="Q42" s="113">
        <f t="shared" si="69"/>
        <v>14.955738363774699</v>
      </c>
      <c r="R42" s="113">
        <f t="shared" si="70"/>
        <v>15.055738363774699</v>
      </c>
      <c r="S42" s="526">
        <f t="shared" si="71"/>
        <v>0.11106999618823939</v>
      </c>
      <c r="T42" s="526">
        <f t="shared" si="72"/>
        <v>0.13044809662136359</v>
      </c>
      <c r="U42" s="533">
        <f t="shared" si="73"/>
        <v>0.17446746284462414</v>
      </c>
    </row>
    <row r="43" spans="1:21" x14ac:dyDescent="0.25">
      <c r="A43" s="513" t="s">
        <v>1842</v>
      </c>
      <c r="B43" s="524">
        <v>14</v>
      </c>
      <c r="C43" s="524">
        <v>14.99</v>
      </c>
      <c r="D43" s="525">
        <v>16</v>
      </c>
      <c r="E43" s="524">
        <f>7+(24/28)</f>
        <v>7.8571428571428568</v>
      </c>
      <c r="F43" s="112">
        <v>6</v>
      </c>
      <c r="G43" s="112">
        <v>6.99</v>
      </c>
      <c r="H43" s="319">
        <v>1</v>
      </c>
      <c r="I43" s="112">
        <v>1.75</v>
      </c>
      <c r="J43" s="112">
        <v>1.99</v>
      </c>
      <c r="K43" s="113">
        <f t="shared" si="66"/>
        <v>1.85090951909662</v>
      </c>
      <c r="L43" s="113">
        <f t="shared" si="67"/>
        <v>2.1214438324010128</v>
      </c>
      <c r="M43" s="49">
        <f t="shared" ref="M43:M56" si="74">D43/20</f>
        <v>0.8</v>
      </c>
      <c r="N43" s="112">
        <f t="shared" ref="N43:N56" si="75">LOG(E43)*4/3</f>
        <v>1.1936861993066492</v>
      </c>
      <c r="O43" s="112">
        <f t="shared" ref="O43:P56" si="76">(F43/7)^0.5</f>
        <v>0.92582009977255142</v>
      </c>
      <c r="P43" s="112">
        <f t="shared" si="76"/>
        <v>0.99928545900129484</v>
      </c>
      <c r="Q43" s="113">
        <f t="shared" si="69"/>
        <v>14.80727615277296</v>
      </c>
      <c r="R43" s="113">
        <f t="shared" si="70"/>
        <v>16.971550659208102</v>
      </c>
      <c r="S43" s="527">
        <f t="shared" si="71"/>
        <v>0.10311373634267876</v>
      </c>
      <c r="T43" s="527">
        <f t="shared" si="72"/>
        <v>0.13439338737714651</v>
      </c>
      <c r="U43" s="533">
        <f t="shared" si="73"/>
        <v>0.30335096121932603</v>
      </c>
    </row>
    <row r="44" spans="1:21" x14ac:dyDescent="0.25">
      <c r="A44" s="513" t="s">
        <v>1842</v>
      </c>
      <c r="B44" s="524">
        <v>14</v>
      </c>
      <c r="C44" s="524">
        <v>14.99</v>
      </c>
      <c r="D44" s="525">
        <v>16</v>
      </c>
      <c r="E44" s="524">
        <f>7+(24/28)</f>
        <v>7.8571428571428568</v>
      </c>
      <c r="F44" s="112">
        <v>6</v>
      </c>
      <c r="G44" s="112">
        <v>6.99</v>
      </c>
      <c r="H44" s="319">
        <v>0.94699999999999995</v>
      </c>
      <c r="I44" s="112">
        <v>1.75</v>
      </c>
      <c r="J44" s="112">
        <v>1.99</v>
      </c>
      <c r="K44" s="113">
        <f t="shared" si="66"/>
        <v>1.752811314584499</v>
      </c>
      <c r="L44" s="113">
        <f t="shared" si="67"/>
        <v>2.009007309283759</v>
      </c>
      <c r="M44" s="49">
        <f t="shared" ref="M44" si="77">D44/20</f>
        <v>0.8</v>
      </c>
      <c r="N44" s="112">
        <f t="shared" ref="N44" si="78">LOG(E44)*4/3</f>
        <v>1.1936861993066492</v>
      </c>
      <c r="O44" s="112">
        <f t="shared" ref="O44" si="79">(F44/7)^0.5</f>
        <v>0.92582009977255142</v>
      </c>
      <c r="P44" s="112">
        <f t="shared" ref="P44" si="80">(G44/7)^0.5</f>
        <v>0.99928545900129484</v>
      </c>
      <c r="Q44" s="113">
        <f t="shared" si="69"/>
        <v>14.80727615277296</v>
      </c>
      <c r="R44" s="113">
        <f t="shared" si="70"/>
        <v>16.971550659208102</v>
      </c>
      <c r="S44" s="527">
        <f t="shared" si="71"/>
        <v>0.10888462126998813</v>
      </c>
      <c r="T44" s="527">
        <f t="shared" si="72"/>
        <v>0.14191487579424131</v>
      </c>
      <c r="U44" s="533">
        <f t="shared" si="73"/>
        <v>0.30335096121932609</v>
      </c>
    </row>
    <row r="45" spans="1:21" x14ac:dyDescent="0.25">
      <c r="A45" s="513" t="s">
        <v>1842</v>
      </c>
      <c r="B45" s="524">
        <v>14</v>
      </c>
      <c r="C45" s="524">
        <v>14.99</v>
      </c>
      <c r="D45" s="525">
        <v>16</v>
      </c>
      <c r="E45" s="524">
        <f>7+(24/28)</f>
        <v>7.8571428571428568</v>
      </c>
      <c r="F45" s="112">
        <v>6</v>
      </c>
      <c r="G45" s="112">
        <v>6.99</v>
      </c>
      <c r="H45" s="319">
        <v>0.89700000000000002</v>
      </c>
      <c r="I45" s="112">
        <v>1.75</v>
      </c>
      <c r="J45" s="112">
        <v>1.99</v>
      </c>
      <c r="K45" s="113">
        <f t="shared" si="66"/>
        <v>1.6602658386296683</v>
      </c>
      <c r="L45" s="113">
        <f t="shared" si="67"/>
        <v>1.9029351176637084</v>
      </c>
      <c r="M45" s="49">
        <f t="shared" ref="M45" si="81">D45/20</f>
        <v>0.8</v>
      </c>
      <c r="N45" s="112">
        <f t="shared" ref="N45" si="82">LOG(E45)*4/3</f>
        <v>1.1936861993066492</v>
      </c>
      <c r="O45" s="112">
        <f t="shared" ref="O45" si="83">(F45/7)^0.5</f>
        <v>0.92582009977255142</v>
      </c>
      <c r="P45" s="112">
        <f t="shared" ref="P45" si="84">(G45/7)^0.5</f>
        <v>0.99928545900129484</v>
      </c>
      <c r="Q45" s="113">
        <f t="shared" si="69"/>
        <v>14.80727615277296</v>
      </c>
      <c r="R45" s="113">
        <f t="shared" si="70"/>
        <v>16.971550659208102</v>
      </c>
      <c r="S45" s="527">
        <f t="shared" si="71"/>
        <v>0.1149539981523732</v>
      </c>
      <c r="T45" s="527">
        <f t="shared" si="72"/>
        <v>0.14982540398790023</v>
      </c>
      <c r="U45" s="533">
        <f t="shared" si="73"/>
        <v>0.30335096121932598</v>
      </c>
    </row>
    <row r="46" spans="1:21" x14ac:dyDescent="0.25">
      <c r="A46" s="513" t="s">
        <v>1822</v>
      </c>
      <c r="B46" s="524">
        <v>14</v>
      </c>
      <c r="C46" s="524">
        <v>14.99</v>
      </c>
      <c r="D46" s="525">
        <v>11</v>
      </c>
      <c r="E46" s="524">
        <f>5+(27.5/28)</f>
        <v>5.9821428571428568</v>
      </c>
      <c r="F46" s="112">
        <v>6</v>
      </c>
      <c r="G46" s="112">
        <v>6.99</v>
      </c>
      <c r="H46" s="319">
        <v>1</v>
      </c>
      <c r="I46" s="112">
        <v>1.75</v>
      </c>
      <c r="J46" s="112">
        <v>1.99</v>
      </c>
      <c r="K46" s="113">
        <f t="shared" si="66"/>
        <v>1.8037069100608205</v>
      </c>
      <c r="L46" s="113">
        <f t="shared" si="67"/>
        <v>2.0704956181118801</v>
      </c>
      <c r="M46" s="49">
        <f t="shared" si="74"/>
        <v>0.55000000000000004</v>
      </c>
      <c r="N46" s="112">
        <f t="shared" si="75"/>
        <v>1.0358090400408597</v>
      </c>
      <c r="O46" s="112">
        <f t="shared" si="76"/>
        <v>0.92582009977255142</v>
      </c>
      <c r="P46" s="112">
        <f t="shared" si="76"/>
        <v>0.99928545900129484</v>
      </c>
      <c r="Q46" s="113">
        <f t="shared" si="69"/>
        <v>14.429655280486564</v>
      </c>
      <c r="R46" s="113">
        <f t="shared" si="70"/>
        <v>16.563964944895041</v>
      </c>
      <c r="S46" s="527">
        <f t="shared" si="71"/>
        <v>0.10565103257715745</v>
      </c>
      <c r="T46" s="527">
        <f t="shared" si="72"/>
        <v>0.13791043246134274</v>
      </c>
      <c r="U46" s="533">
        <f t="shared" si="73"/>
        <v>0.30533918218571215</v>
      </c>
    </row>
    <row r="47" spans="1:21" x14ac:dyDescent="0.25">
      <c r="A47" s="513" t="s">
        <v>1731</v>
      </c>
      <c r="B47" s="524">
        <v>14</v>
      </c>
      <c r="C47" s="524">
        <v>14.99</v>
      </c>
      <c r="D47" s="525">
        <v>10</v>
      </c>
      <c r="E47" s="524">
        <f>6+(3/28)</f>
        <v>6.1071428571428568</v>
      </c>
      <c r="F47" s="112">
        <v>5</v>
      </c>
      <c r="G47" s="112">
        <v>5.99</v>
      </c>
      <c r="H47" s="319">
        <v>1</v>
      </c>
      <c r="I47" s="112">
        <v>1.75</v>
      </c>
      <c r="J47" s="112">
        <v>1.99</v>
      </c>
      <c r="K47" s="113">
        <f t="shared" si="66"/>
        <v>1.6425344860348925</v>
      </c>
      <c r="L47" s="113">
        <f t="shared" si="67"/>
        <v>1.912281054034672</v>
      </c>
      <c r="M47" s="49">
        <f t="shared" si="74"/>
        <v>0.5</v>
      </c>
      <c r="N47" s="112">
        <f t="shared" si="75"/>
        <v>1.0477841053999128</v>
      </c>
      <c r="O47" s="112">
        <f t="shared" si="76"/>
        <v>0.84515425472851657</v>
      </c>
      <c r="P47" s="112">
        <f t="shared" si="76"/>
        <v>0.92504826128926143</v>
      </c>
      <c r="Q47" s="113">
        <f t="shared" si="69"/>
        <v>13.14027588827914</v>
      </c>
      <c r="R47" s="113">
        <f t="shared" si="70"/>
        <v>15.298248432277376</v>
      </c>
      <c r="S47" s="527">
        <f t="shared" si="71"/>
        <v>0.11439218076153873</v>
      </c>
      <c r="T47" s="527">
        <f t="shared" si="72"/>
        <v>0.15144278681203641</v>
      </c>
      <c r="U47" s="533">
        <f t="shared" si="73"/>
        <v>0.32389107195825867</v>
      </c>
    </row>
    <row r="48" spans="1:21" x14ac:dyDescent="0.25">
      <c r="A48" s="513" t="s">
        <v>1841</v>
      </c>
      <c r="B48" s="524">
        <v>13</v>
      </c>
      <c r="C48" s="524">
        <v>13.99</v>
      </c>
      <c r="D48" s="525">
        <v>10</v>
      </c>
      <c r="E48" s="524">
        <f>4+(22/28)</f>
        <v>4.7857142857142856</v>
      </c>
      <c r="F48" s="112">
        <v>5</v>
      </c>
      <c r="G48" s="112">
        <v>5.99</v>
      </c>
      <c r="H48" s="319">
        <v>1</v>
      </c>
      <c r="I48" s="112">
        <v>1.5</v>
      </c>
      <c r="J48" s="112">
        <v>1.74</v>
      </c>
      <c r="K48" s="113">
        <f t="shared" si="66"/>
        <v>1.5219744553773784</v>
      </c>
      <c r="L48" s="113">
        <f t="shared" si="67"/>
        <v>1.7803242590274249</v>
      </c>
      <c r="M48" s="49">
        <f t="shared" si="74"/>
        <v>0.5</v>
      </c>
      <c r="N48" s="112">
        <f t="shared" si="75"/>
        <v>0.90659568936345114</v>
      </c>
      <c r="O48" s="112">
        <f t="shared" si="76"/>
        <v>0.84515425472851657</v>
      </c>
      <c r="P48" s="112">
        <f t="shared" si="76"/>
        <v>0.92504826128926143</v>
      </c>
      <c r="Q48" s="113">
        <f t="shared" si="69"/>
        <v>12.175795643019027</v>
      </c>
      <c r="R48" s="113">
        <f t="shared" si="70"/>
        <v>14.242594072219399</v>
      </c>
      <c r="S48" s="527">
        <f t="shared" si="71"/>
        <v>0.10531789310247874</v>
      </c>
      <c r="T48" s="527">
        <f t="shared" si="72"/>
        <v>0.14290647207089305</v>
      </c>
      <c r="U48" s="533">
        <f t="shared" si="73"/>
        <v>0.35690591466579219</v>
      </c>
    </row>
    <row r="49" spans="1:24" x14ac:dyDescent="0.25">
      <c r="A49" s="375" t="s">
        <v>1829</v>
      </c>
      <c r="B49" s="524">
        <v>12</v>
      </c>
      <c r="C49" s="524">
        <v>12.99</v>
      </c>
      <c r="D49" s="525">
        <v>4</v>
      </c>
      <c r="E49" s="524">
        <f>7+(5.5/28)</f>
        <v>7.1964285714285712</v>
      </c>
      <c r="F49" s="112">
        <v>4</v>
      </c>
      <c r="G49" s="112">
        <v>4.99</v>
      </c>
      <c r="H49" s="319">
        <v>1</v>
      </c>
      <c r="I49" s="112">
        <v>1.25</v>
      </c>
      <c r="J49" s="112">
        <v>1.49</v>
      </c>
      <c r="K49" s="113">
        <f t="shared" si="66"/>
        <v>1.2607782368263314</v>
      </c>
      <c r="L49" s="113">
        <f t="shared" si="67"/>
        <v>1.5126658214621682</v>
      </c>
      <c r="M49" s="49">
        <f t="shared" si="74"/>
        <v>0.2</v>
      </c>
      <c r="N49" s="112">
        <f t="shared" si="75"/>
        <v>1.1428226921798788</v>
      </c>
      <c r="O49" s="112">
        <f t="shared" si="76"/>
        <v>0.7559289460184544</v>
      </c>
      <c r="P49" s="112">
        <f t="shared" si="76"/>
        <v>0.84430867747355465</v>
      </c>
      <c r="Q49" s="113">
        <f t="shared" si="69"/>
        <v>10.086225894610651</v>
      </c>
      <c r="R49" s="113">
        <f t="shared" si="70"/>
        <v>12.101326571697346</v>
      </c>
      <c r="S49" s="527">
        <f t="shared" si="71"/>
        <v>0.10329446053654212</v>
      </c>
      <c r="T49" s="527">
        <f t="shared" si="72"/>
        <v>0.14772621747408493</v>
      </c>
      <c r="U49" s="533">
        <f t="shared" si="73"/>
        <v>0.43014656068438772</v>
      </c>
    </row>
    <row r="50" spans="1:24" x14ac:dyDescent="0.25">
      <c r="A50" s="513" t="s">
        <v>1616</v>
      </c>
      <c r="B50" s="524">
        <v>12</v>
      </c>
      <c r="C50" s="524">
        <v>12.1</v>
      </c>
      <c r="D50" s="525">
        <v>20</v>
      </c>
      <c r="E50" s="524">
        <f>5+(14.5/28)</f>
        <v>5.5178571428571432</v>
      </c>
      <c r="F50" s="112">
        <v>5</v>
      </c>
      <c r="G50" s="112">
        <v>5.99</v>
      </c>
      <c r="H50" s="319">
        <v>1</v>
      </c>
      <c r="I50" s="112">
        <v>1.5</v>
      </c>
      <c r="J50" s="112">
        <v>1.74</v>
      </c>
      <c r="K50" s="113">
        <f t="shared" si="66"/>
        <v>1.477860739582757</v>
      </c>
      <c r="L50" s="113">
        <f t="shared" si="67"/>
        <v>1.6291287724087666</v>
      </c>
      <c r="M50" s="49">
        <f t="shared" si="74"/>
        <v>1</v>
      </c>
      <c r="N50" s="112">
        <f t="shared" si="75"/>
        <v>0.98902726989151235</v>
      </c>
      <c r="O50" s="112">
        <f t="shared" si="76"/>
        <v>0.84515425472851657</v>
      </c>
      <c r="P50" s="112">
        <f t="shared" si="76"/>
        <v>0.92504826128926143</v>
      </c>
      <c r="Q50" s="113">
        <f t="shared" si="69"/>
        <v>11.822885916662056</v>
      </c>
      <c r="R50" s="113">
        <f t="shared" si="70"/>
        <v>13.033030179270133</v>
      </c>
      <c r="S50" s="527">
        <f t="shared" si="71"/>
        <v>0.11509219109964509</v>
      </c>
      <c r="T50" s="527">
        <f t="shared" si="72"/>
        <v>0.14717218894481665</v>
      </c>
      <c r="U50" s="533">
        <f t="shared" si="73"/>
        <v>0.27873305337802784</v>
      </c>
    </row>
    <row r="51" spans="1:24" x14ac:dyDescent="0.25">
      <c r="A51" s="513" t="s">
        <v>1781</v>
      </c>
      <c r="B51" s="524">
        <v>11</v>
      </c>
      <c r="C51" s="524">
        <v>11.99</v>
      </c>
      <c r="D51" s="525">
        <v>6</v>
      </c>
      <c r="E51" s="524">
        <f>5+(11/28)</f>
        <v>5.3928571428571432</v>
      </c>
      <c r="F51" s="369">
        <v>7</v>
      </c>
      <c r="G51" s="369">
        <v>7</v>
      </c>
      <c r="H51" s="319">
        <v>1</v>
      </c>
      <c r="I51" s="112">
        <v>1.5</v>
      </c>
      <c r="J51" s="112">
        <v>1.74</v>
      </c>
      <c r="K51" s="113">
        <f t="shared" si="66"/>
        <v>1.5344698193251585</v>
      </c>
      <c r="L51" s="113">
        <f t="shared" si="67"/>
        <v>1.6582198193251585</v>
      </c>
      <c r="M51" s="49">
        <f t="shared" si="74"/>
        <v>0.3</v>
      </c>
      <c r="N51" s="112">
        <f t="shared" si="75"/>
        <v>0.97575855460126704</v>
      </c>
      <c r="O51" s="112">
        <f t="shared" si="76"/>
        <v>1</v>
      </c>
      <c r="P51" s="112">
        <f t="shared" si="76"/>
        <v>1</v>
      </c>
      <c r="Q51" s="113">
        <f t="shared" si="69"/>
        <v>12.275758554601268</v>
      </c>
      <c r="R51" s="113">
        <f t="shared" si="70"/>
        <v>13.265758554601268</v>
      </c>
      <c r="S51" s="527">
        <f t="shared" si="71"/>
        <v>0.11307306655899602</v>
      </c>
      <c r="T51" s="527">
        <f t="shared" si="72"/>
        <v>0.14174276825832516</v>
      </c>
      <c r="U51" s="533">
        <f t="shared" si="73"/>
        <v>0.25355022705049474</v>
      </c>
    </row>
    <row r="52" spans="1:24" x14ac:dyDescent="0.25">
      <c r="A52" s="513" t="s">
        <v>1339</v>
      </c>
      <c r="B52" s="524">
        <v>10</v>
      </c>
      <c r="C52" s="524">
        <v>10.99</v>
      </c>
      <c r="D52" s="525">
        <v>20</v>
      </c>
      <c r="E52" s="524">
        <f>7+(17.4/28)</f>
        <v>7.621428571428571</v>
      </c>
      <c r="F52" s="112">
        <v>5</v>
      </c>
      <c r="G52" s="112">
        <v>5.99</v>
      </c>
      <c r="H52" s="319">
        <v>1</v>
      </c>
      <c r="I52" s="112">
        <v>1.25</v>
      </c>
      <c r="J52" s="112">
        <v>1.49</v>
      </c>
      <c r="K52" s="113">
        <f t="shared" si="66"/>
        <v>1.2863299006764575</v>
      </c>
      <c r="L52" s="113">
        <f t="shared" si="67"/>
        <v>1.5224037854703338</v>
      </c>
      <c r="M52" s="49">
        <f t="shared" si="74"/>
        <v>1</v>
      </c>
      <c r="N52" s="112">
        <f t="shared" si="75"/>
        <v>1.1760485116616424</v>
      </c>
      <c r="O52" s="112">
        <f t="shared" si="76"/>
        <v>0.84515425472851657</v>
      </c>
      <c r="P52" s="112">
        <f t="shared" si="76"/>
        <v>0.92504826128926143</v>
      </c>
      <c r="Q52" s="113">
        <f t="shared" si="69"/>
        <v>10.29063920541166</v>
      </c>
      <c r="R52" s="113">
        <f t="shared" si="70"/>
        <v>12.179230283762671</v>
      </c>
      <c r="S52" s="527">
        <f t="shared" si="71"/>
        <v>0.1026337437486914</v>
      </c>
      <c r="T52" s="527">
        <f t="shared" si="72"/>
        <v>0.14479178312037566</v>
      </c>
      <c r="U52" s="533">
        <f t="shared" si="73"/>
        <v>0.41076197585574076</v>
      </c>
    </row>
    <row r="53" spans="1:24" x14ac:dyDescent="0.25">
      <c r="A53" s="513" t="s">
        <v>1612</v>
      </c>
      <c r="B53" s="524">
        <v>10</v>
      </c>
      <c r="C53" s="524">
        <v>10.99</v>
      </c>
      <c r="D53" s="525">
        <v>20</v>
      </c>
      <c r="E53" s="524">
        <f>9+(18.5/28)</f>
        <v>9.6607142857142865</v>
      </c>
      <c r="F53" s="112">
        <v>5</v>
      </c>
      <c r="G53" s="112">
        <v>5.99</v>
      </c>
      <c r="H53" s="319">
        <v>1</v>
      </c>
      <c r="I53" s="112">
        <v>1.25</v>
      </c>
      <c r="J53" s="112">
        <v>1.49</v>
      </c>
      <c r="K53" s="113">
        <f t="shared" si="66"/>
        <v>1.3008345583396139</v>
      </c>
      <c r="L53" s="113">
        <f t="shared" si="67"/>
        <v>1.5382795954503818</v>
      </c>
      <c r="M53" s="49">
        <f t="shared" si="74"/>
        <v>1</v>
      </c>
      <c r="N53" s="112">
        <f t="shared" si="75"/>
        <v>1.3133456508004919</v>
      </c>
      <c r="O53" s="112">
        <f t="shared" si="76"/>
        <v>0.84515425472851657</v>
      </c>
      <c r="P53" s="112">
        <f t="shared" si="76"/>
        <v>0.92504826128926143</v>
      </c>
      <c r="Q53" s="113">
        <f t="shared" si="69"/>
        <v>10.406676466716911</v>
      </c>
      <c r="R53" s="113">
        <f t="shared" si="70"/>
        <v>12.306236763603055</v>
      </c>
      <c r="S53" s="527">
        <f t="shared" si="71"/>
        <v>0.10157451250222993</v>
      </c>
      <c r="T53" s="527">
        <f t="shared" si="72"/>
        <v>0.14317731552099108</v>
      </c>
      <c r="U53" s="533">
        <f t="shared" si="73"/>
        <v>0.40957915518273169</v>
      </c>
    </row>
    <row r="54" spans="1:24" x14ac:dyDescent="0.25">
      <c r="A54" s="513" t="s">
        <v>1760</v>
      </c>
      <c r="B54" s="524">
        <v>9</v>
      </c>
      <c r="C54" s="524">
        <v>9.99</v>
      </c>
      <c r="D54" s="525">
        <v>10</v>
      </c>
      <c r="E54" s="524">
        <f>6+(21/28)</f>
        <v>6.75</v>
      </c>
      <c r="F54" s="369">
        <v>7</v>
      </c>
      <c r="G54" s="369">
        <v>7</v>
      </c>
      <c r="H54" s="319">
        <v>1</v>
      </c>
      <c r="I54" s="112">
        <v>1.25</v>
      </c>
      <c r="J54" s="112">
        <v>1.49</v>
      </c>
      <c r="K54" s="113">
        <f t="shared" si="66"/>
        <v>1.3257172954718375</v>
      </c>
      <c r="L54" s="113">
        <f t="shared" si="67"/>
        <v>1.4494672954718375</v>
      </c>
      <c r="M54" s="49">
        <f t="shared" si="74"/>
        <v>0.5</v>
      </c>
      <c r="N54" s="112">
        <f t="shared" si="75"/>
        <v>1.1057383637747</v>
      </c>
      <c r="O54" s="112">
        <f t="shared" si="76"/>
        <v>1</v>
      </c>
      <c r="P54" s="112">
        <f t="shared" si="76"/>
        <v>1</v>
      </c>
      <c r="Q54" s="113">
        <f t="shared" si="69"/>
        <v>10.6057383637747</v>
      </c>
      <c r="R54" s="113">
        <f t="shared" si="70"/>
        <v>11.5957383637747</v>
      </c>
      <c r="S54" s="527">
        <f t="shared" si="71"/>
        <v>0.10779822386343443</v>
      </c>
      <c r="T54" s="527">
        <f t="shared" si="72"/>
        <v>0.14048998277095839</v>
      </c>
      <c r="U54" s="533">
        <f t="shared" si="73"/>
        <v>0.30326806635459908</v>
      </c>
    </row>
    <row r="55" spans="1:24" x14ac:dyDescent="0.25">
      <c r="A55" s="513" t="s">
        <v>1826</v>
      </c>
      <c r="B55" s="524">
        <v>5</v>
      </c>
      <c r="C55" s="524">
        <v>5.99</v>
      </c>
      <c r="D55" s="525">
        <v>5</v>
      </c>
      <c r="E55" s="524">
        <f>8+(7.5/28)</f>
        <v>8.2678571428571423</v>
      </c>
      <c r="F55" s="112">
        <v>6</v>
      </c>
      <c r="G55" s="112">
        <v>6.99</v>
      </c>
      <c r="H55" s="319">
        <v>1</v>
      </c>
      <c r="I55" s="112">
        <v>0.75</v>
      </c>
      <c r="J55" s="112">
        <v>0.99</v>
      </c>
      <c r="K55" s="113">
        <f t="shared" si="66"/>
        <v>0.7491262480544032</v>
      </c>
      <c r="L55" s="113">
        <f t="shared" si="67"/>
        <v>0.93223223287551715</v>
      </c>
      <c r="M55" s="49">
        <f t="shared" si="74"/>
        <v>0.25</v>
      </c>
      <c r="N55" s="112">
        <f t="shared" si="75"/>
        <v>1.2231906186823369</v>
      </c>
      <c r="O55" s="112">
        <f t="shared" si="76"/>
        <v>0.92582009977255142</v>
      </c>
      <c r="P55" s="112">
        <f t="shared" si="76"/>
        <v>0.99928545900129484</v>
      </c>
      <c r="Q55" s="113">
        <f t="shared" si="69"/>
        <v>5.9930099844352256</v>
      </c>
      <c r="R55" s="113">
        <f t="shared" si="70"/>
        <v>7.4578578630041372</v>
      </c>
      <c r="S55" s="527">
        <f t="shared" si="71"/>
        <v>0.10056507026239955</v>
      </c>
      <c r="T55" s="527">
        <f t="shared" si="72"/>
        <v>0.16519244963235222</v>
      </c>
      <c r="U55" s="533">
        <f t="shared" si="73"/>
        <v>0.64264241253273713</v>
      </c>
    </row>
    <row r="56" spans="1:24" x14ac:dyDescent="0.25">
      <c r="A56" s="513" t="s">
        <v>1017</v>
      </c>
      <c r="B56" s="524">
        <v>5</v>
      </c>
      <c r="C56" s="524">
        <v>5.99</v>
      </c>
      <c r="D56" s="525">
        <v>30</v>
      </c>
      <c r="E56" s="524">
        <f>5+(12.5/28)</f>
        <v>5.4464285714285712</v>
      </c>
      <c r="F56" s="112">
        <v>6</v>
      </c>
      <c r="G56" s="112">
        <v>6.99</v>
      </c>
      <c r="H56" s="319">
        <v>1</v>
      </c>
      <c r="I56" s="112">
        <v>0.75</v>
      </c>
      <c r="J56" s="112">
        <v>0.99</v>
      </c>
      <c r="K56" s="113">
        <f t="shared" si="66"/>
        <v>0.86581334965601708</v>
      </c>
      <c r="L56" s="113">
        <f t="shared" si="67"/>
        <v>1.0581786493684684</v>
      </c>
      <c r="M56" s="49">
        <f t="shared" si="74"/>
        <v>1.5</v>
      </c>
      <c r="N56" s="112">
        <f t="shared" si="75"/>
        <v>0.98148241645411394</v>
      </c>
      <c r="O56" s="112">
        <f t="shared" si="76"/>
        <v>0.92582009977255142</v>
      </c>
      <c r="P56" s="112">
        <f t="shared" si="76"/>
        <v>0.99928545900129484</v>
      </c>
      <c r="Q56" s="113">
        <f t="shared" si="69"/>
        <v>6.9265067972481367</v>
      </c>
      <c r="R56" s="113">
        <f t="shared" si="70"/>
        <v>8.4654291949477471</v>
      </c>
      <c r="S56" s="527">
        <f t="shared" si="71"/>
        <v>8.85956261317037E-2</v>
      </c>
      <c r="T56" s="527">
        <f t="shared" si="72"/>
        <v>0.14292918912507552</v>
      </c>
      <c r="U56" s="533">
        <f t="shared" si="73"/>
        <v>0.61327590723949632</v>
      </c>
    </row>
    <row r="57" spans="1:24" x14ac:dyDescent="0.25">
      <c r="G57" s="518"/>
      <c r="H57" s="518"/>
      <c r="I57" s="518"/>
      <c r="J57" s="518"/>
      <c r="K57" s="60"/>
      <c r="L57" s="60"/>
      <c r="M57" s="60"/>
      <c r="N57" s="60"/>
      <c r="O57" s="60"/>
    </row>
    <row r="58" spans="1:24" x14ac:dyDescent="0.25">
      <c r="A58" s="725" t="s">
        <v>1885</v>
      </c>
      <c r="B58" s="725"/>
      <c r="C58" s="725"/>
      <c r="D58" s="725"/>
      <c r="E58" s="725"/>
      <c r="F58" s="725"/>
      <c r="G58" s="725"/>
      <c r="H58" s="725"/>
      <c r="I58" s="725"/>
      <c r="J58" s="725"/>
      <c r="K58" s="725"/>
      <c r="L58" s="725"/>
      <c r="M58" s="725"/>
      <c r="N58" s="725"/>
      <c r="O58" s="725"/>
      <c r="P58" s="725"/>
      <c r="Q58" s="725"/>
      <c r="R58" s="725"/>
      <c r="S58" s="725"/>
      <c r="T58" s="725"/>
      <c r="V58" s="532">
        <f>MAX(V60:V76)</f>
        <v>0.28567635977534839</v>
      </c>
      <c r="W58" s="532">
        <f>MIN(W60:W76)</f>
        <v>0.29108963672053295</v>
      </c>
    </row>
    <row r="59" spans="1:24" x14ac:dyDescent="0.25">
      <c r="A59" s="528" t="s">
        <v>720</v>
      </c>
      <c r="B59" s="528" t="s">
        <v>1886</v>
      </c>
      <c r="C59" s="528" t="s">
        <v>1887</v>
      </c>
      <c r="D59" s="529" t="s">
        <v>1892</v>
      </c>
      <c r="E59" s="529" t="s">
        <v>1893</v>
      </c>
      <c r="F59" s="528" t="s">
        <v>1246</v>
      </c>
      <c r="G59" s="528" t="s">
        <v>689</v>
      </c>
      <c r="H59" s="528" t="s">
        <v>1839</v>
      </c>
      <c r="I59" s="528" t="s">
        <v>1838</v>
      </c>
      <c r="J59" s="529" t="s">
        <v>1895</v>
      </c>
      <c r="K59" s="529" t="s">
        <v>1894</v>
      </c>
      <c r="L59" s="528" t="s">
        <v>1888</v>
      </c>
      <c r="M59" s="528" t="s">
        <v>1889</v>
      </c>
      <c r="N59" s="16" t="s">
        <v>1890</v>
      </c>
      <c r="O59" s="16" t="s">
        <v>1891</v>
      </c>
      <c r="P59" s="523" t="s">
        <v>1877</v>
      </c>
      <c r="Q59" s="523" t="s">
        <v>1878</v>
      </c>
      <c r="R59" s="523" t="s">
        <v>1897</v>
      </c>
      <c r="S59" s="523" t="s">
        <v>1898</v>
      </c>
      <c r="T59" s="523" t="s">
        <v>1879</v>
      </c>
      <c r="U59" s="523" t="s">
        <v>1880</v>
      </c>
      <c r="V59" s="523" t="s">
        <v>1881</v>
      </c>
      <c r="W59" s="523" t="s">
        <v>1882</v>
      </c>
      <c r="X59" s="523" t="s">
        <v>1899</v>
      </c>
    </row>
    <row r="60" spans="1:24" x14ac:dyDescent="0.25">
      <c r="A60" s="530" t="s">
        <v>1781</v>
      </c>
      <c r="B60" s="524">
        <v>15</v>
      </c>
      <c r="C60" s="524">
        <v>15.99</v>
      </c>
      <c r="D60" s="524">
        <v>10</v>
      </c>
      <c r="E60" s="524">
        <v>10.99</v>
      </c>
      <c r="F60" s="525">
        <v>6</v>
      </c>
      <c r="G60" s="524">
        <f>5+(11/28)</f>
        <v>5.3928571428571432</v>
      </c>
      <c r="H60" s="369">
        <v>7</v>
      </c>
      <c r="I60" s="369">
        <v>7</v>
      </c>
      <c r="J60" s="319">
        <v>1</v>
      </c>
      <c r="K60" s="319">
        <v>0.27</v>
      </c>
      <c r="L60" s="531">
        <v>5.75</v>
      </c>
      <c r="M60" s="112">
        <v>5.99</v>
      </c>
      <c r="N60" s="113">
        <f>T60*$D$5</f>
        <v>5.6221820890239895</v>
      </c>
      <c r="O60" s="113">
        <f>U60*$D$5</f>
        <v>5.9880563890239902</v>
      </c>
      <c r="P60" s="49">
        <f>F60/20</f>
        <v>0.3</v>
      </c>
      <c r="Q60" s="112">
        <f>LOG(G60)*4/3</f>
        <v>0.97575855460126704</v>
      </c>
      <c r="R60" s="112">
        <f t="shared" ref="R60:R76" si="85">(H60/7)^0.5</f>
        <v>1</v>
      </c>
      <c r="S60" s="112">
        <f t="shared" ref="S60:S76" si="86">(I60/7)^0.5</f>
        <v>1</v>
      </c>
      <c r="T60" s="113">
        <f>((B60+P60+Q60)*R60*J60)+((D60+P60+Q60)*K60*R60)</f>
        <v>19.320213364343608</v>
      </c>
      <c r="U60" s="113">
        <f>((C60+P60+Q60)*S60*J60)+((E60+P60+Q60)*K60*S60)</f>
        <v>20.577513364343609</v>
      </c>
      <c r="V60" s="526">
        <f>L60/(U60)</f>
        <v>0.27943123633021227</v>
      </c>
      <c r="W60" s="526">
        <f>M60/(T60)</f>
        <v>0.31003798390005549</v>
      </c>
      <c r="X60" s="533">
        <f>(W60-V60)/V60</f>
        <v>0.10953230559261566</v>
      </c>
    </row>
    <row r="61" spans="1:24" x14ac:dyDescent="0.25">
      <c r="A61" s="530" t="s">
        <v>1781</v>
      </c>
      <c r="B61" s="524">
        <v>15</v>
      </c>
      <c r="C61" s="524">
        <v>15.99</v>
      </c>
      <c r="D61" s="524">
        <v>10</v>
      </c>
      <c r="E61" s="524">
        <v>10.99</v>
      </c>
      <c r="F61" s="525">
        <v>6</v>
      </c>
      <c r="G61" s="524">
        <f>5+(11/28)</f>
        <v>5.3928571428571432</v>
      </c>
      <c r="H61" s="369">
        <v>7</v>
      </c>
      <c r="I61" s="369">
        <v>7</v>
      </c>
      <c r="J61" s="319">
        <v>0.84699999999999998</v>
      </c>
      <c r="K61" s="319">
        <v>0.23499999999999999</v>
      </c>
      <c r="L61" s="531">
        <v>4.75</v>
      </c>
      <c r="M61" s="112">
        <v>4.99</v>
      </c>
      <c r="N61" s="113">
        <f t="shared" ref="N61:N76" si="87">T61*$D$5</f>
        <v>4.782692890018863</v>
      </c>
      <c r="O61" s="113">
        <f t="shared" ref="O61:O76" si="88">U61*$D$5</f>
        <v>5.0944062700188626</v>
      </c>
      <c r="P61" s="49">
        <f>F61/20</f>
        <v>0.3</v>
      </c>
      <c r="Q61" s="112">
        <f>LOG(G61)*4/3</f>
        <v>0.97575855460126704</v>
      </c>
      <c r="R61" s="112">
        <f t="shared" si="85"/>
        <v>1</v>
      </c>
      <c r="S61" s="112">
        <f t="shared" si="86"/>
        <v>1</v>
      </c>
      <c r="T61" s="113">
        <f t="shared" ref="T61:T76" si="89">((B61+P61+Q61)*R61*J61)+((D61+P61+Q61)*K61*R61)</f>
        <v>16.435370756078569</v>
      </c>
      <c r="U61" s="113">
        <f t="shared" ref="U61:U76" si="90">((C61+P61+Q61)*S61*J61)+((E61+P61+Q61)*K61*S61)</f>
        <v>17.506550756078568</v>
      </c>
      <c r="V61" s="526">
        <f t="shared" ref="V61:V79" si="91">L61/(U61)</f>
        <v>0.27132700588382441</v>
      </c>
      <c r="W61" s="526">
        <f t="shared" ref="W61:W79" si="92">M61/(T61)</f>
        <v>0.30361347328623328</v>
      </c>
      <c r="X61" s="533">
        <f t="shared" ref="X61:X76" si="93">(W61-V61)/V61</f>
        <v>0.11899466953994674</v>
      </c>
    </row>
    <row r="62" spans="1:24" x14ac:dyDescent="0.25">
      <c r="A62" s="530" t="s">
        <v>1781</v>
      </c>
      <c r="B62" s="524">
        <v>15</v>
      </c>
      <c r="C62" s="524">
        <v>15.99</v>
      </c>
      <c r="D62" s="524">
        <v>10</v>
      </c>
      <c r="E62" s="524">
        <v>10.99</v>
      </c>
      <c r="F62" s="525">
        <v>6</v>
      </c>
      <c r="G62" s="524">
        <f>5+(11/28)</f>
        <v>5.3928571428571432</v>
      </c>
      <c r="H62" s="369">
        <v>7</v>
      </c>
      <c r="I62" s="369">
        <v>7</v>
      </c>
      <c r="J62" s="319">
        <v>0.72</v>
      </c>
      <c r="K62" s="319">
        <v>0.20499999999999999</v>
      </c>
      <c r="L62" s="531">
        <v>4.25</v>
      </c>
      <c r="M62" s="112">
        <v>4.49</v>
      </c>
      <c r="N62" s="113">
        <f t="shared" si="87"/>
        <v>4.0827523089347961</v>
      </c>
      <c r="O62" s="113">
        <f t="shared" si="88"/>
        <v>4.3492355589347955</v>
      </c>
      <c r="P62" s="49">
        <f>F62/20</f>
        <v>0.3</v>
      </c>
      <c r="Q62" s="112">
        <f>LOG(G62)*4/3</f>
        <v>0.97575855460126704</v>
      </c>
      <c r="R62" s="112">
        <f t="shared" si="85"/>
        <v>1</v>
      </c>
      <c r="S62" s="112">
        <f t="shared" si="86"/>
        <v>1</v>
      </c>
      <c r="T62" s="113">
        <f t="shared" si="89"/>
        <v>14.030076663006174</v>
      </c>
      <c r="U62" s="113">
        <f t="shared" si="90"/>
        <v>14.945826663006171</v>
      </c>
      <c r="V62" s="526">
        <f t="shared" si="91"/>
        <v>0.28436031648350218</v>
      </c>
      <c r="W62" s="526">
        <f t="shared" si="92"/>
        <v>0.32002676163837468</v>
      </c>
      <c r="X62" s="533">
        <f t="shared" si="93"/>
        <v>0.12542694281655073</v>
      </c>
    </row>
    <row r="63" spans="1:24" x14ac:dyDescent="0.25">
      <c r="A63" s="530" t="s">
        <v>1781</v>
      </c>
      <c r="B63" s="524">
        <v>15</v>
      </c>
      <c r="C63" s="524">
        <v>15.99</v>
      </c>
      <c r="D63" s="524">
        <v>10</v>
      </c>
      <c r="E63" s="524">
        <v>10.99</v>
      </c>
      <c r="F63" s="525">
        <v>6</v>
      </c>
      <c r="G63" s="524">
        <f>5+(11/28)</f>
        <v>5.3928571428571432</v>
      </c>
      <c r="H63" s="369">
        <v>7</v>
      </c>
      <c r="I63" s="369">
        <v>7</v>
      </c>
      <c r="J63" s="319">
        <v>0.56000000000000005</v>
      </c>
      <c r="K63" s="319">
        <v>0.14299999999999999</v>
      </c>
      <c r="L63" s="531">
        <v>3.25</v>
      </c>
      <c r="M63" s="112">
        <v>3.49</v>
      </c>
      <c r="N63" s="113">
        <f t="shared" si="87"/>
        <v>3.1215157547904453</v>
      </c>
      <c r="O63" s="113">
        <f t="shared" si="88"/>
        <v>3.3240430247904453</v>
      </c>
      <c r="P63" s="49">
        <f t="shared" ref="P63:P76" si="94">F63/20</f>
        <v>0.3</v>
      </c>
      <c r="Q63" s="112">
        <f t="shared" ref="Q63:Q76" si="95">LOG(G63)*4/3</f>
        <v>0.97575855460126704</v>
      </c>
      <c r="R63" s="112">
        <f t="shared" si="85"/>
        <v>1</v>
      </c>
      <c r="S63" s="112">
        <f t="shared" si="86"/>
        <v>1</v>
      </c>
      <c r="T63" s="113">
        <f t="shared" si="89"/>
        <v>10.726858263884692</v>
      </c>
      <c r="U63" s="113">
        <f t="shared" si="90"/>
        <v>11.422828263884693</v>
      </c>
      <c r="V63" s="526">
        <f t="shared" si="91"/>
        <v>0.28451797794031924</v>
      </c>
      <c r="W63" s="526">
        <f t="shared" si="92"/>
        <v>0.32535155346931094</v>
      </c>
      <c r="X63" s="533">
        <f t="shared" si="93"/>
        <v>0.14351843712862666</v>
      </c>
    </row>
    <row r="64" spans="1:24" x14ac:dyDescent="0.25">
      <c r="A64" s="530" t="s">
        <v>1822</v>
      </c>
      <c r="B64" s="524">
        <v>14</v>
      </c>
      <c r="C64" s="524">
        <v>14.99</v>
      </c>
      <c r="D64" s="524">
        <v>6</v>
      </c>
      <c r="E64" s="524">
        <v>6.99</v>
      </c>
      <c r="F64" s="525">
        <v>11</v>
      </c>
      <c r="G64" s="524">
        <f>5+(27.5/28)</f>
        <v>5.9821428571428568</v>
      </c>
      <c r="H64" s="112">
        <v>6</v>
      </c>
      <c r="I64" s="112">
        <v>6.99</v>
      </c>
      <c r="J64" s="319">
        <v>1</v>
      </c>
      <c r="K64" s="319">
        <v>0.27</v>
      </c>
      <c r="L64" s="531">
        <v>4.75</v>
      </c>
      <c r="M64" s="112">
        <v>4.99</v>
      </c>
      <c r="N64" s="113">
        <f t="shared" si="87"/>
        <v>4.750834220096384</v>
      </c>
      <c r="O64" s="113">
        <f t="shared" si="88"/>
        <v>5.4934336565750064</v>
      </c>
      <c r="P64" s="49">
        <f t="shared" si="94"/>
        <v>0.55000000000000004</v>
      </c>
      <c r="Q64" s="112">
        <f t="shared" si="95"/>
        <v>1.0358090400408597</v>
      </c>
      <c r="R64" s="112">
        <f t="shared" si="85"/>
        <v>0.92582009977255142</v>
      </c>
      <c r="S64" s="112">
        <f t="shared" si="86"/>
        <v>0.99928545900129484</v>
      </c>
      <c r="T64" s="113">
        <f t="shared" si="89"/>
        <v>16.325890790709224</v>
      </c>
      <c r="U64" s="113">
        <f t="shared" si="90"/>
        <v>18.877778888573907</v>
      </c>
      <c r="V64" s="527">
        <f t="shared" si="91"/>
        <v>0.25161858437037937</v>
      </c>
      <c r="W64" s="527">
        <f t="shared" si="92"/>
        <v>0.30564947811850618</v>
      </c>
      <c r="X64" s="533">
        <f t="shared" si="93"/>
        <v>0.21473331901666698</v>
      </c>
    </row>
    <row r="65" spans="1:24" x14ac:dyDescent="0.25">
      <c r="A65" s="530" t="s">
        <v>1822</v>
      </c>
      <c r="B65" s="524">
        <v>14</v>
      </c>
      <c r="C65" s="524">
        <v>14.99</v>
      </c>
      <c r="D65" s="524">
        <v>6</v>
      </c>
      <c r="E65" s="524">
        <v>6.99</v>
      </c>
      <c r="F65" s="525">
        <v>11</v>
      </c>
      <c r="G65" s="524">
        <f>5+(27.5/28)</f>
        <v>5.9821428571428568</v>
      </c>
      <c r="H65" s="112">
        <v>6</v>
      </c>
      <c r="I65" s="112">
        <v>6.99</v>
      </c>
      <c r="J65" s="319">
        <v>0.84699999999999998</v>
      </c>
      <c r="K65" s="319">
        <v>0.23499999999999999</v>
      </c>
      <c r="L65" s="531">
        <v>4</v>
      </c>
      <c r="M65" s="112">
        <v>4.25</v>
      </c>
      <c r="N65" s="113">
        <f t="shared" si="87"/>
        <v>4.0368524607409926</v>
      </c>
      <c r="O65" s="113">
        <f t="shared" si="88"/>
        <v>4.6686740415691137</v>
      </c>
      <c r="P65" s="49">
        <f t="shared" si="94"/>
        <v>0.55000000000000004</v>
      </c>
      <c r="Q65" s="112">
        <f t="shared" si="95"/>
        <v>1.0358090400408597</v>
      </c>
      <c r="R65" s="112">
        <f t="shared" si="85"/>
        <v>0.92582009977255142</v>
      </c>
      <c r="S65" s="112">
        <f t="shared" si="86"/>
        <v>0.99928545900129484</v>
      </c>
      <c r="T65" s="113">
        <f t="shared" si="89"/>
        <v>13.872345225914064</v>
      </c>
      <c r="U65" s="113">
        <f t="shared" si="90"/>
        <v>16.043553407453999</v>
      </c>
      <c r="V65" s="527">
        <f t="shared" si="91"/>
        <v>0.24932132542043706</v>
      </c>
      <c r="W65" s="527">
        <f t="shared" si="92"/>
        <v>0.30636492466038401</v>
      </c>
      <c r="X65" s="533">
        <f t="shared" si="93"/>
        <v>0.22879550773987281</v>
      </c>
    </row>
    <row r="66" spans="1:24" x14ac:dyDescent="0.25">
      <c r="A66" s="530" t="s">
        <v>1822</v>
      </c>
      <c r="B66" s="524">
        <v>14</v>
      </c>
      <c r="C66" s="524">
        <v>14.99</v>
      </c>
      <c r="D66" s="524">
        <v>6</v>
      </c>
      <c r="E66" s="524">
        <v>6.99</v>
      </c>
      <c r="F66" s="525">
        <v>11</v>
      </c>
      <c r="G66" s="524">
        <f>5+(27.5/28)</f>
        <v>5.9821428571428568</v>
      </c>
      <c r="H66" s="112">
        <v>6</v>
      </c>
      <c r="I66" s="112">
        <v>6.99</v>
      </c>
      <c r="J66" s="319">
        <v>0.72</v>
      </c>
      <c r="K66" s="319">
        <v>0.20499999999999999</v>
      </c>
      <c r="L66" s="531">
        <v>3.5</v>
      </c>
      <c r="M66" s="112">
        <v>3.74</v>
      </c>
      <c r="N66" s="113">
        <f t="shared" si="87"/>
        <v>3.4422640757095184</v>
      </c>
      <c r="O66" s="113">
        <f t="shared" si="88"/>
        <v>3.9817062715883447</v>
      </c>
      <c r="P66" s="49">
        <f t="shared" si="94"/>
        <v>0.55000000000000004</v>
      </c>
      <c r="Q66" s="112">
        <f t="shared" si="95"/>
        <v>1.0358090400408597</v>
      </c>
      <c r="R66" s="112">
        <f t="shared" si="85"/>
        <v>0.92582009977255142</v>
      </c>
      <c r="S66" s="112">
        <f t="shared" si="86"/>
        <v>0.99928545900129484</v>
      </c>
      <c r="T66" s="113">
        <f t="shared" si="89"/>
        <v>11.829086170823087</v>
      </c>
      <c r="U66" s="113">
        <f t="shared" si="90"/>
        <v>13.68283942126579</v>
      </c>
      <c r="V66" s="527">
        <f t="shared" si="91"/>
        <v>0.25579486042643462</v>
      </c>
      <c r="W66" s="527">
        <f t="shared" si="92"/>
        <v>0.31616981616254175</v>
      </c>
      <c r="X66" s="533">
        <f t="shared" si="93"/>
        <v>0.23602880697233819</v>
      </c>
    </row>
    <row r="67" spans="1:24" x14ac:dyDescent="0.25">
      <c r="A67" s="530" t="s">
        <v>1822</v>
      </c>
      <c r="B67" s="524">
        <v>14</v>
      </c>
      <c r="C67" s="524">
        <v>14.99</v>
      </c>
      <c r="D67" s="524">
        <v>6</v>
      </c>
      <c r="E67" s="524">
        <v>6.99</v>
      </c>
      <c r="F67" s="525">
        <v>11</v>
      </c>
      <c r="G67" s="524">
        <f>5+(27.5/28)</f>
        <v>5.9821428571428568</v>
      </c>
      <c r="H67" s="112">
        <v>6</v>
      </c>
      <c r="I67" s="112">
        <v>6.99</v>
      </c>
      <c r="J67" s="319">
        <v>0.56000000000000005</v>
      </c>
      <c r="K67" s="319">
        <v>0.14299999999999999</v>
      </c>
      <c r="L67" s="531">
        <v>2.75</v>
      </c>
      <c r="M67" s="112">
        <v>2.99</v>
      </c>
      <c r="N67" s="113">
        <f t="shared" si="87"/>
        <v>2.643708655200296</v>
      </c>
      <c r="O67" s="113">
        <f t="shared" si="88"/>
        <v>3.0558738742286464</v>
      </c>
      <c r="P67" s="49">
        <f t="shared" si="94"/>
        <v>0.55000000000000004</v>
      </c>
      <c r="Q67" s="112">
        <f t="shared" si="95"/>
        <v>1.0358090400408597</v>
      </c>
      <c r="R67" s="112">
        <f t="shared" si="85"/>
        <v>0.92582009977255142</v>
      </c>
      <c r="S67" s="112">
        <f t="shared" si="86"/>
        <v>0.99928545900129484</v>
      </c>
      <c r="T67" s="113">
        <f t="shared" si="89"/>
        <v>9.0849094680422553</v>
      </c>
      <c r="U67" s="113">
        <f t="shared" si="90"/>
        <v>10.501284791163734</v>
      </c>
      <c r="V67" s="527">
        <f t="shared" si="91"/>
        <v>0.26187271888045327</v>
      </c>
      <c r="W67" s="527">
        <f t="shared" si="92"/>
        <v>0.3291172037011314</v>
      </c>
      <c r="X67" s="533">
        <f t="shared" si="93"/>
        <v>0.25678308572255559</v>
      </c>
    </row>
    <row r="68" spans="1:24" x14ac:dyDescent="0.25">
      <c r="A68" s="530" t="s">
        <v>1685</v>
      </c>
      <c r="B68" s="524">
        <v>9</v>
      </c>
      <c r="C68" s="524">
        <v>9.99</v>
      </c>
      <c r="D68" s="524">
        <v>2</v>
      </c>
      <c r="E68" s="524">
        <v>2.99</v>
      </c>
      <c r="F68" s="525">
        <v>17</v>
      </c>
      <c r="G68" s="524">
        <f>6+(21/28)</f>
        <v>6.75</v>
      </c>
      <c r="H68" s="369">
        <v>7</v>
      </c>
      <c r="I68" s="369">
        <v>7</v>
      </c>
      <c r="J68" s="319">
        <v>1</v>
      </c>
      <c r="K68" s="319">
        <v>0.27</v>
      </c>
      <c r="L68" s="531">
        <v>3.25</v>
      </c>
      <c r="M68" s="112">
        <v>3.5</v>
      </c>
      <c r="N68" s="113">
        <f t="shared" si="87"/>
        <v>3.4989222271002158</v>
      </c>
      <c r="O68" s="113">
        <f t="shared" si="88"/>
        <v>3.8647965271002156</v>
      </c>
      <c r="P68" s="49">
        <f t="shared" si="94"/>
        <v>0.85</v>
      </c>
      <c r="Q68" s="112">
        <f t="shared" si="95"/>
        <v>1.1057383637747</v>
      </c>
      <c r="R68" s="112">
        <f t="shared" si="85"/>
        <v>1</v>
      </c>
      <c r="S68" s="112">
        <f t="shared" si="86"/>
        <v>1</v>
      </c>
      <c r="T68" s="113">
        <f t="shared" si="89"/>
        <v>12.02378772199387</v>
      </c>
      <c r="U68" s="113">
        <f t="shared" si="90"/>
        <v>13.281087721993869</v>
      </c>
      <c r="V68" s="527">
        <f t="shared" si="91"/>
        <v>0.24470887234769975</v>
      </c>
      <c r="W68" s="527">
        <f t="shared" si="92"/>
        <v>0.29108963672053295</v>
      </c>
      <c r="X68" s="533">
        <f t="shared" si="93"/>
        <v>0.18953446161499252</v>
      </c>
    </row>
    <row r="69" spans="1:24" x14ac:dyDescent="0.25">
      <c r="A69" s="530" t="s">
        <v>1685</v>
      </c>
      <c r="B69" s="524">
        <v>9</v>
      </c>
      <c r="C69" s="524">
        <v>9.99</v>
      </c>
      <c r="D69" s="524">
        <v>2</v>
      </c>
      <c r="E69" s="524">
        <v>2.99</v>
      </c>
      <c r="F69" s="525">
        <v>17</v>
      </c>
      <c r="G69" s="524">
        <f>6+(21/28)</f>
        <v>6.75</v>
      </c>
      <c r="H69" s="369">
        <v>7</v>
      </c>
      <c r="I69" s="369">
        <v>7</v>
      </c>
      <c r="J69" s="319">
        <v>0.84699999999999998</v>
      </c>
      <c r="K69" s="319">
        <v>0.23499999999999999</v>
      </c>
      <c r="L69" s="531">
        <v>2.75</v>
      </c>
      <c r="M69" s="112">
        <v>2.99</v>
      </c>
      <c r="N69" s="113">
        <f t="shared" si="87"/>
        <v>2.9708506926948295</v>
      </c>
      <c r="O69" s="113">
        <f t="shared" si="88"/>
        <v>3.2825640726948286</v>
      </c>
      <c r="P69" s="49">
        <f t="shared" si="94"/>
        <v>0.85</v>
      </c>
      <c r="Q69" s="112">
        <f t="shared" si="95"/>
        <v>1.1057383637747</v>
      </c>
      <c r="R69" s="112">
        <f t="shared" si="85"/>
        <v>1</v>
      </c>
      <c r="S69" s="112">
        <f t="shared" si="86"/>
        <v>1</v>
      </c>
      <c r="T69" s="113">
        <f t="shared" si="89"/>
        <v>10.209108909604225</v>
      </c>
      <c r="U69" s="113">
        <f t="shared" si="90"/>
        <v>11.280288909604224</v>
      </c>
      <c r="V69" s="527">
        <f t="shared" si="91"/>
        <v>0.24378808220582052</v>
      </c>
      <c r="W69" s="527">
        <f t="shared" si="92"/>
        <v>0.29287570800495194</v>
      </c>
      <c r="X69" s="533">
        <f t="shared" si="93"/>
        <v>0.20135367305481613</v>
      </c>
    </row>
    <row r="70" spans="1:24" x14ac:dyDescent="0.25">
      <c r="A70" s="530" t="s">
        <v>1685</v>
      </c>
      <c r="B70" s="524">
        <v>9</v>
      </c>
      <c r="C70" s="524">
        <v>9.99</v>
      </c>
      <c r="D70" s="524">
        <v>2</v>
      </c>
      <c r="E70" s="524">
        <v>2.99</v>
      </c>
      <c r="F70" s="525">
        <v>17</v>
      </c>
      <c r="G70" s="524">
        <f>6+(21/28)</f>
        <v>6.75</v>
      </c>
      <c r="H70" s="369">
        <v>7</v>
      </c>
      <c r="I70" s="369">
        <v>7</v>
      </c>
      <c r="J70" s="319">
        <v>0.72</v>
      </c>
      <c r="K70" s="319">
        <v>0.20499999999999999</v>
      </c>
      <c r="L70" s="531">
        <v>2.5</v>
      </c>
      <c r="M70" s="112">
        <v>2.74</v>
      </c>
      <c r="N70" s="113">
        <f t="shared" si="87"/>
        <v>2.5314258740690545</v>
      </c>
      <c r="O70" s="113">
        <f t="shared" si="88"/>
        <v>2.7979091240690548</v>
      </c>
      <c r="P70" s="49">
        <f t="shared" si="94"/>
        <v>0.85</v>
      </c>
      <c r="Q70" s="112">
        <f t="shared" si="95"/>
        <v>1.1057383637747</v>
      </c>
      <c r="R70" s="112">
        <f t="shared" si="85"/>
        <v>1</v>
      </c>
      <c r="S70" s="112">
        <f t="shared" si="86"/>
        <v>1</v>
      </c>
      <c r="T70" s="113">
        <f t="shared" si="89"/>
        <v>8.6990579864915976</v>
      </c>
      <c r="U70" s="113">
        <f t="shared" si="90"/>
        <v>9.6148079864915985</v>
      </c>
      <c r="V70" s="527">
        <f t="shared" si="91"/>
        <v>0.26001559298036891</v>
      </c>
      <c r="W70" s="527">
        <f t="shared" si="92"/>
        <v>0.31497663359122691</v>
      </c>
      <c r="X70" s="533">
        <f t="shared" si="93"/>
        <v>0.21137594088446662</v>
      </c>
    </row>
    <row r="71" spans="1:24" x14ac:dyDescent="0.25">
      <c r="A71" s="530" t="s">
        <v>1685</v>
      </c>
      <c r="B71" s="524">
        <v>9</v>
      </c>
      <c r="C71" s="524">
        <v>9.99</v>
      </c>
      <c r="D71" s="524">
        <v>2</v>
      </c>
      <c r="E71" s="524">
        <v>2.99</v>
      </c>
      <c r="F71" s="525">
        <v>17</v>
      </c>
      <c r="G71" s="524">
        <f>6+(21/28)</f>
        <v>6.75</v>
      </c>
      <c r="H71" s="369">
        <v>7</v>
      </c>
      <c r="I71" s="369">
        <v>7</v>
      </c>
      <c r="J71" s="319">
        <v>0.56000000000000005</v>
      </c>
      <c r="K71" s="319">
        <v>0.14299999999999999</v>
      </c>
      <c r="L71" s="531">
        <v>2</v>
      </c>
      <c r="M71" s="112">
        <v>2.25</v>
      </c>
      <c r="N71" s="113">
        <f t="shared" si="87"/>
        <v>1.9499572642924814</v>
      </c>
      <c r="O71" s="113">
        <f t="shared" si="88"/>
        <v>2.1524845342924817</v>
      </c>
      <c r="P71" s="49">
        <f t="shared" si="94"/>
        <v>0.85</v>
      </c>
      <c r="Q71" s="112">
        <f t="shared" si="95"/>
        <v>1.1057383637747</v>
      </c>
      <c r="R71" s="112">
        <f t="shared" si="85"/>
        <v>1</v>
      </c>
      <c r="S71" s="112">
        <f t="shared" si="86"/>
        <v>1</v>
      </c>
      <c r="T71" s="113">
        <f t="shared" si="89"/>
        <v>6.7008840697336138</v>
      </c>
      <c r="U71" s="113">
        <f t="shared" si="90"/>
        <v>7.3968540697336138</v>
      </c>
      <c r="V71" s="527">
        <f t="shared" si="91"/>
        <v>0.27038521797848947</v>
      </c>
      <c r="W71" s="527">
        <f t="shared" si="92"/>
        <v>0.33577658956416573</v>
      </c>
      <c r="X71" s="533">
        <f t="shared" si="93"/>
        <v>0.24184521651948621</v>
      </c>
    </row>
    <row r="72" spans="1:24" x14ac:dyDescent="0.25">
      <c r="A72" s="375" t="s">
        <v>1829</v>
      </c>
      <c r="B72" s="524">
        <v>12</v>
      </c>
      <c r="C72" s="524">
        <v>12.99</v>
      </c>
      <c r="D72" s="524">
        <v>8</v>
      </c>
      <c r="E72" s="524">
        <v>8.99</v>
      </c>
      <c r="F72" s="525">
        <v>4</v>
      </c>
      <c r="G72" s="524">
        <f>7+(5.5/28)</f>
        <v>7.1964285714285712</v>
      </c>
      <c r="H72" s="112">
        <v>4</v>
      </c>
      <c r="I72" s="112">
        <v>4.99</v>
      </c>
      <c r="J72" s="319">
        <v>1</v>
      </c>
      <c r="K72" s="319">
        <v>0.27</v>
      </c>
      <c r="L72" s="531">
        <v>4</v>
      </c>
      <c r="M72" s="112">
        <v>4.25</v>
      </c>
      <c r="N72" s="113">
        <f t="shared" si="87"/>
        <v>3.4899931547165783</v>
      </c>
      <c r="O72" s="113">
        <f t="shared" si="88"/>
        <v>4.2069379299457994</v>
      </c>
      <c r="P72" s="49">
        <f t="shared" si="94"/>
        <v>0.2</v>
      </c>
      <c r="Q72" s="112">
        <f t="shared" si="95"/>
        <v>1.1428226921798788</v>
      </c>
      <c r="R72" s="112">
        <f t="shared" si="85"/>
        <v>0.7559289460184544</v>
      </c>
      <c r="S72" s="112">
        <f t="shared" si="86"/>
        <v>0.84430867747355465</v>
      </c>
      <c r="T72" s="113">
        <f t="shared" si="89"/>
        <v>11.993103624455596</v>
      </c>
      <c r="U72" s="113">
        <f t="shared" si="90"/>
        <v>14.456831374384191</v>
      </c>
      <c r="V72" s="527">
        <f t="shared" si="91"/>
        <v>0.27668580316206293</v>
      </c>
      <c r="W72" s="527">
        <f t="shared" si="92"/>
        <v>0.3543703225688522</v>
      </c>
      <c r="X72" s="533">
        <f t="shared" si="93"/>
        <v>0.28076799936600721</v>
      </c>
    </row>
    <row r="73" spans="1:24" x14ac:dyDescent="0.25">
      <c r="A73" s="375" t="s">
        <v>1829</v>
      </c>
      <c r="B73" s="524">
        <v>12</v>
      </c>
      <c r="C73" s="524">
        <v>12.99</v>
      </c>
      <c r="D73" s="524">
        <v>8</v>
      </c>
      <c r="E73" s="524">
        <v>8.99</v>
      </c>
      <c r="F73" s="525">
        <v>4</v>
      </c>
      <c r="G73" s="524">
        <f>7+(5.5/28)</f>
        <v>7.1964285714285712</v>
      </c>
      <c r="H73" s="112">
        <v>4</v>
      </c>
      <c r="I73" s="112">
        <v>4.99</v>
      </c>
      <c r="J73" s="319">
        <v>0.84699999999999998</v>
      </c>
      <c r="K73" s="319">
        <v>0.23499999999999999</v>
      </c>
      <c r="L73" s="531">
        <v>3.5</v>
      </c>
      <c r="M73" s="112">
        <v>3.75</v>
      </c>
      <c r="N73" s="113">
        <f t="shared" si="87"/>
        <v>2.9689924537350105</v>
      </c>
      <c r="O73" s="113">
        <f t="shared" si="88"/>
        <v>3.5792956913816529</v>
      </c>
      <c r="P73" s="49">
        <f t="shared" si="94"/>
        <v>0.2</v>
      </c>
      <c r="Q73" s="112">
        <f t="shared" si="95"/>
        <v>1.1428226921798788</v>
      </c>
      <c r="R73" s="112">
        <f t="shared" si="85"/>
        <v>0.7559289460184544</v>
      </c>
      <c r="S73" s="112">
        <f t="shared" si="86"/>
        <v>0.84430867747355465</v>
      </c>
      <c r="T73" s="113">
        <f t="shared" si="89"/>
        <v>10.202723208711378</v>
      </c>
      <c r="U73" s="113">
        <f t="shared" si="90"/>
        <v>12.299985193751386</v>
      </c>
      <c r="V73" s="527">
        <f t="shared" si="91"/>
        <v>0.28455318806221513</v>
      </c>
      <c r="W73" s="527">
        <f t="shared" si="92"/>
        <v>0.36754893015211298</v>
      </c>
      <c r="X73" s="533">
        <f t="shared" si="93"/>
        <v>0.29167039967147207</v>
      </c>
    </row>
    <row r="74" spans="1:24" x14ac:dyDescent="0.25">
      <c r="A74" s="375" t="s">
        <v>1829</v>
      </c>
      <c r="B74" s="524">
        <v>12</v>
      </c>
      <c r="C74" s="524">
        <v>12.99</v>
      </c>
      <c r="D74" s="524">
        <v>8</v>
      </c>
      <c r="E74" s="524">
        <v>8.99</v>
      </c>
      <c r="F74" s="525">
        <v>4</v>
      </c>
      <c r="G74" s="524">
        <f>7+(5.5/28)</f>
        <v>7.1964285714285712</v>
      </c>
      <c r="H74" s="112">
        <v>4</v>
      </c>
      <c r="I74" s="112">
        <v>4.99</v>
      </c>
      <c r="J74" s="319">
        <v>0.72</v>
      </c>
      <c r="K74" s="319">
        <v>0.20499999999999999</v>
      </c>
      <c r="L74" s="531">
        <v>3</v>
      </c>
      <c r="M74" s="112">
        <v>3.25</v>
      </c>
      <c r="N74" s="113">
        <f t="shared" si="87"/>
        <v>2.5345800900828981</v>
      </c>
      <c r="O74" s="113">
        <f t="shared" si="88"/>
        <v>3.0559056433178928</v>
      </c>
      <c r="P74" s="49">
        <f t="shared" si="94"/>
        <v>0.2</v>
      </c>
      <c r="Q74" s="112">
        <f t="shared" si="95"/>
        <v>1.1428226921798788</v>
      </c>
      <c r="R74" s="112">
        <f t="shared" si="85"/>
        <v>0.7559289460184544</v>
      </c>
      <c r="S74" s="112">
        <f t="shared" si="86"/>
        <v>0.84430867747355465</v>
      </c>
      <c r="T74" s="113">
        <f t="shared" si="89"/>
        <v>8.7098972167797193</v>
      </c>
      <c r="U74" s="113">
        <f t="shared" si="90"/>
        <v>10.501393963291729</v>
      </c>
      <c r="V74" s="527">
        <f t="shared" si="91"/>
        <v>0.28567635977534839</v>
      </c>
      <c r="W74" s="527">
        <f t="shared" si="92"/>
        <v>0.37313873161888028</v>
      </c>
      <c r="X74" s="533">
        <f t="shared" si="93"/>
        <v>0.3061589412309475</v>
      </c>
    </row>
    <row r="75" spans="1:24" x14ac:dyDescent="0.25">
      <c r="A75" s="375" t="s">
        <v>1829</v>
      </c>
      <c r="B75" s="524">
        <v>12</v>
      </c>
      <c r="C75" s="524">
        <v>12.99</v>
      </c>
      <c r="D75" s="524">
        <v>8</v>
      </c>
      <c r="E75" s="524">
        <v>8.99</v>
      </c>
      <c r="F75" s="525">
        <v>4</v>
      </c>
      <c r="G75" s="524">
        <f>7+(5.5/28)</f>
        <v>7.1964285714285712</v>
      </c>
      <c r="H75" s="112">
        <v>4</v>
      </c>
      <c r="I75" s="112">
        <v>4.99</v>
      </c>
      <c r="J75" s="319">
        <v>0.56000000000000005</v>
      </c>
      <c r="K75" s="319">
        <v>0.14299999999999999</v>
      </c>
      <c r="L75" s="531">
        <v>2.25</v>
      </c>
      <c r="M75" s="112">
        <v>2.5</v>
      </c>
      <c r="N75" s="113">
        <f t="shared" si="87"/>
        <v>1.9375436050155208</v>
      </c>
      <c r="O75" s="113">
        <f t="shared" si="88"/>
        <v>2.335067812769013</v>
      </c>
      <c r="P75" s="49">
        <f t="shared" si="94"/>
        <v>0.2</v>
      </c>
      <c r="Q75" s="112">
        <f t="shared" si="95"/>
        <v>1.1428226921798788</v>
      </c>
      <c r="R75" s="112">
        <f t="shared" si="85"/>
        <v>0.7559289460184544</v>
      </c>
      <c r="S75" s="112">
        <f t="shared" si="86"/>
        <v>0.84430867747355465</v>
      </c>
      <c r="T75" s="113">
        <f t="shared" si="89"/>
        <v>6.6582254467887321</v>
      </c>
      <c r="U75" s="113">
        <f t="shared" si="90"/>
        <v>8.0242880163883612</v>
      </c>
      <c r="V75" s="527">
        <f t="shared" si="91"/>
        <v>0.28039870894523283</v>
      </c>
      <c r="W75" s="527">
        <f t="shared" si="92"/>
        <v>0.37547542058759098</v>
      </c>
      <c r="X75" s="533">
        <f t="shared" si="93"/>
        <v>0.3390768523863939</v>
      </c>
    </row>
    <row r="76" spans="1:24" x14ac:dyDescent="0.25">
      <c r="A76" s="530" t="s">
        <v>1017</v>
      </c>
      <c r="B76" s="524">
        <v>11</v>
      </c>
      <c r="C76" s="524">
        <v>11.99</v>
      </c>
      <c r="D76" s="524">
        <v>4</v>
      </c>
      <c r="E76" s="524">
        <v>4.99</v>
      </c>
      <c r="F76" s="525">
        <v>30</v>
      </c>
      <c r="G76" s="524">
        <f>5+(12.5/28)</f>
        <v>5.4464285714285712</v>
      </c>
      <c r="H76" s="112">
        <v>6</v>
      </c>
      <c r="I76" s="112">
        <v>6.99</v>
      </c>
      <c r="J76" s="319">
        <v>1</v>
      </c>
      <c r="K76" s="319">
        <v>0.27</v>
      </c>
      <c r="L76" s="531">
        <v>4</v>
      </c>
      <c r="M76" s="112">
        <v>4.25</v>
      </c>
      <c r="N76" s="113">
        <f t="shared" si="87"/>
        <v>4.1035693260227388</v>
      </c>
      <c r="O76" s="113">
        <f t="shared" si="88"/>
        <v>4.7948072204793677</v>
      </c>
      <c r="P76" s="49">
        <f t="shared" si="94"/>
        <v>1.5</v>
      </c>
      <c r="Q76" s="112">
        <f t="shared" si="95"/>
        <v>0.98148241645411394</v>
      </c>
      <c r="R76" s="112">
        <f t="shared" si="85"/>
        <v>0.92582009977255142</v>
      </c>
      <c r="S76" s="112">
        <f t="shared" si="86"/>
        <v>0.99928545900129484</v>
      </c>
      <c r="T76" s="113">
        <f t="shared" si="89"/>
        <v>14.101612804201853</v>
      </c>
      <c r="U76" s="113">
        <f t="shared" si="90"/>
        <v>16.47700075766106</v>
      </c>
      <c r="V76" s="527">
        <f t="shared" si="91"/>
        <v>0.24276262766694243</v>
      </c>
      <c r="W76" s="527">
        <f t="shared" si="92"/>
        <v>0.30138396643067866</v>
      </c>
      <c r="X76" s="533">
        <f t="shared" si="93"/>
        <v>0.24147596080629691</v>
      </c>
    </row>
    <row r="77" spans="1:24" x14ac:dyDescent="0.25">
      <c r="A77" s="530" t="s">
        <v>1017</v>
      </c>
      <c r="B77" s="524">
        <v>11</v>
      </c>
      <c r="C77" s="524">
        <v>11.99</v>
      </c>
      <c r="D77" s="524">
        <v>4</v>
      </c>
      <c r="E77" s="524">
        <v>4.99</v>
      </c>
      <c r="F77" s="525">
        <v>30</v>
      </c>
      <c r="G77" s="524">
        <f t="shared" ref="G77:G79" si="96">5+(12.5/28)</f>
        <v>5.4464285714285712</v>
      </c>
      <c r="H77" s="112">
        <v>6</v>
      </c>
      <c r="I77" s="112">
        <v>6.99</v>
      </c>
      <c r="J77" s="319">
        <v>0.84699999999999998</v>
      </c>
      <c r="K77" s="319">
        <v>0.23499999999999999</v>
      </c>
      <c r="L77" s="531">
        <v>3.25</v>
      </c>
      <c r="M77" s="112">
        <v>3.5</v>
      </c>
      <c r="N77" s="113">
        <f t="shared" ref="N77:N79" si="97">T77*$D$5</f>
        <v>3.4867417400620315</v>
      </c>
      <c r="O77" s="113">
        <f t="shared" ref="O77:O79" si="98">U77*$D$5</f>
        <v>4.074911123535407</v>
      </c>
      <c r="P77" s="49">
        <f t="shared" ref="P77:P79" si="99">F77/20</f>
        <v>1.5</v>
      </c>
      <c r="Q77" s="112">
        <f t="shared" ref="Q77:Q79" si="100">LOG(G77)*4/3</f>
        <v>0.98148241645411394</v>
      </c>
      <c r="R77" s="112">
        <f t="shared" ref="R77:R79" si="101">(H77/7)^0.5</f>
        <v>0.92582009977255142</v>
      </c>
      <c r="S77" s="112">
        <f t="shared" ref="S77:S79" si="102">(I77/7)^0.5</f>
        <v>0.99928545900129484</v>
      </c>
      <c r="T77" s="113">
        <f t="shared" ref="T77:T79" si="103">((B77+P77+Q77)*R77*J77)+((D77+P77+Q77)*K77*R77)</f>
        <v>11.98193037822004</v>
      </c>
      <c r="U77" s="113">
        <f t="shared" ref="U77:U79" si="104">((C77+P77+Q77)*S77*J77)+((E77+P77+Q77)*K77*S77)</f>
        <v>14.003131008712739</v>
      </c>
      <c r="V77" s="527">
        <f t="shared" si="91"/>
        <v>0.23209095151490422</v>
      </c>
      <c r="W77" s="527">
        <f t="shared" si="92"/>
        <v>0.29210652119645664</v>
      </c>
      <c r="X77" s="533">
        <f t="shared" ref="X77:X79" si="105">(W77-V77)/V77</f>
        <v>0.25858642609640209</v>
      </c>
    </row>
    <row r="78" spans="1:24" x14ac:dyDescent="0.25">
      <c r="A78" s="530" t="s">
        <v>1017</v>
      </c>
      <c r="B78" s="524">
        <v>11</v>
      </c>
      <c r="C78" s="524">
        <v>11.99</v>
      </c>
      <c r="D78" s="524">
        <v>4</v>
      </c>
      <c r="E78" s="524">
        <v>4.99</v>
      </c>
      <c r="F78" s="525">
        <v>30</v>
      </c>
      <c r="G78" s="524">
        <f t="shared" si="96"/>
        <v>5.4464285714285712</v>
      </c>
      <c r="H78" s="112">
        <v>6</v>
      </c>
      <c r="I78" s="112">
        <v>6.99</v>
      </c>
      <c r="J78" s="319">
        <v>0.72</v>
      </c>
      <c r="K78" s="319">
        <v>0.20499999999999999</v>
      </c>
      <c r="L78" s="531">
        <v>3</v>
      </c>
      <c r="M78" s="112">
        <v>3.25</v>
      </c>
      <c r="N78" s="113">
        <f t="shared" si="97"/>
        <v>2.973079632923405</v>
      </c>
      <c r="O78" s="113">
        <f t="shared" si="98"/>
        <v>3.4752912657130448</v>
      </c>
      <c r="P78" s="49">
        <f t="shared" si="99"/>
        <v>1.5</v>
      </c>
      <c r="Q78" s="112">
        <f t="shared" si="100"/>
        <v>0.98148241645411394</v>
      </c>
      <c r="R78" s="112">
        <f t="shared" si="101"/>
        <v>0.92582009977255142</v>
      </c>
      <c r="S78" s="112">
        <f t="shared" si="102"/>
        <v>0.99928545900129484</v>
      </c>
      <c r="T78" s="113">
        <f t="shared" si="103"/>
        <v>10.216768498018574</v>
      </c>
      <c r="U78" s="113">
        <f t="shared" si="104"/>
        <v>11.942581669116993</v>
      </c>
      <c r="V78" s="527">
        <f t="shared" si="91"/>
        <v>0.2512019664690987</v>
      </c>
      <c r="W78" s="527">
        <f t="shared" si="92"/>
        <v>0.31810449660578105</v>
      </c>
      <c r="X78" s="533">
        <f t="shared" si="105"/>
        <v>0.26632964334262998</v>
      </c>
    </row>
    <row r="79" spans="1:24" x14ac:dyDescent="0.25">
      <c r="A79" s="530" t="s">
        <v>1017</v>
      </c>
      <c r="B79" s="524">
        <v>11</v>
      </c>
      <c r="C79" s="524">
        <v>11.99</v>
      </c>
      <c r="D79" s="524">
        <v>4</v>
      </c>
      <c r="E79" s="524">
        <v>4.99</v>
      </c>
      <c r="F79" s="525">
        <v>30</v>
      </c>
      <c r="G79" s="524">
        <f t="shared" si="96"/>
        <v>5.4464285714285712</v>
      </c>
      <c r="H79" s="112">
        <v>6</v>
      </c>
      <c r="I79" s="112">
        <v>6.99</v>
      </c>
      <c r="J79" s="319">
        <v>0.56000000000000005</v>
      </c>
      <c r="K79" s="319">
        <v>0.14299999999999999</v>
      </c>
      <c r="L79" s="531">
        <v>2.25</v>
      </c>
      <c r="M79" s="112">
        <v>2.5</v>
      </c>
      <c r="N79" s="113">
        <f t="shared" si="97"/>
        <v>2.283679983975218</v>
      </c>
      <c r="O79" s="113">
        <f t="shared" si="98"/>
        <v>2.6672763312857306</v>
      </c>
      <c r="P79" s="49">
        <f t="shared" si="99"/>
        <v>1.5</v>
      </c>
      <c r="Q79" s="112">
        <f t="shared" si="100"/>
        <v>0.98148241645411394</v>
      </c>
      <c r="R79" s="112">
        <f t="shared" si="101"/>
        <v>0.92582009977255142</v>
      </c>
      <c r="S79" s="112">
        <f t="shared" si="102"/>
        <v>0.99928545900129484</v>
      </c>
      <c r="T79" s="113">
        <f t="shared" si="103"/>
        <v>7.8476975394337387</v>
      </c>
      <c r="U79" s="113">
        <f t="shared" si="104"/>
        <v>9.1658980456554318</v>
      </c>
      <c r="V79" s="527">
        <f t="shared" si="91"/>
        <v>0.24547512843724936</v>
      </c>
      <c r="W79" s="527">
        <f t="shared" si="92"/>
        <v>0.31856477488305329</v>
      </c>
      <c r="X79" s="533">
        <f t="shared" si="105"/>
        <v>0.29774766556232918</v>
      </c>
    </row>
    <row r="80" spans="1:24" x14ac:dyDescent="0.25">
      <c r="G80" s="518"/>
      <c r="H80" s="518"/>
      <c r="I80" s="518"/>
      <c r="J80" s="518"/>
      <c r="K80" s="60"/>
      <c r="L80" s="60"/>
      <c r="M80" s="60"/>
      <c r="N80" s="60"/>
      <c r="O80" s="60"/>
    </row>
    <row r="81" spans="1:24" x14ac:dyDescent="0.25">
      <c r="A81" s="725" t="s">
        <v>1900</v>
      </c>
      <c r="B81" s="725"/>
      <c r="C81" s="725"/>
      <c r="D81" s="725"/>
      <c r="E81" s="725"/>
      <c r="F81" s="725"/>
      <c r="G81" s="725"/>
      <c r="H81" s="725"/>
      <c r="I81" s="725"/>
      <c r="J81" s="725"/>
      <c r="K81" s="725"/>
      <c r="L81" s="725"/>
      <c r="M81" s="725"/>
      <c r="N81" s="725"/>
      <c r="O81" s="725"/>
      <c r="P81" s="725"/>
      <c r="Q81" s="725"/>
      <c r="R81" s="725"/>
      <c r="S81" s="725"/>
      <c r="T81" s="725"/>
      <c r="V81" s="532">
        <f>MAX(V83:V99)</f>
        <v>0.19022245885942476</v>
      </c>
      <c r="W81" s="532">
        <f>MIN(W83:W99)</f>
        <v>0.18709186086833368</v>
      </c>
    </row>
    <row r="82" spans="1:24" x14ac:dyDescent="0.25">
      <c r="A82" s="534" t="s">
        <v>720</v>
      </c>
      <c r="B82" s="534" t="s">
        <v>1901</v>
      </c>
      <c r="C82" s="534" t="s">
        <v>1902</v>
      </c>
      <c r="D82" s="534" t="s">
        <v>1892</v>
      </c>
      <c r="E82" s="534" t="s">
        <v>1893</v>
      </c>
      <c r="F82" s="534" t="s">
        <v>1246</v>
      </c>
      <c r="G82" s="534" t="s">
        <v>689</v>
      </c>
      <c r="H82" s="534" t="s">
        <v>1839</v>
      </c>
      <c r="I82" s="534" t="s">
        <v>1838</v>
      </c>
      <c r="J82" s="534" t="s">
        <v>1903</v>
      </c>
      <c r="K82" s="534" t="s">
        <v>1904</v>
      </c>
      <c r="L82" s="534" t="s">
        <v>1905</v>
      </c>
      <c r="M82" s="534" t="s">
        <v>1906</v>
      </c>
      <c r="N82" s="16" t="s">
        <v>1890</v>
      </c>
      <c r="O82" s="16" t="s">
        <v>1891</v>
      </c>
      <c r="P82" s="523" t="s">
        <v>1877</v>
      </c>
      <c r="Q82" s="523" t="s">
        <v>1878</v>
      </c>
      <c r="R82" s="523" t="s">
        <v>1897</v>
      </c>
      <c r="S82" s="523" t="s">
        <v>1898</v>
      </c>
      <c r="T82" s="523" t="s">
        <v>1879</v>
      </c>
      <c r="U82" s="523" t="s">
        <v>1880</v>
      </c>
      <c r="V82" s="523" t="s">
        <v>1881</v>
      </c>
      <c r="W82" s="523" t="s">
        <v>1882</v>
      </c>
      <c r="X82" s="523" t="s">
        <v>1899</v>
      </c>
    </row>
    <row r="83" spans="1:24" x14ac:dyDescent="0.25">
      <c r="A83" s="535" t="s">
        <v>1612</v>
      </c>
      <c r="B83" s="524">
        <v>6.6</v>
      </c>
      <c r="C83" s="524">
        <v>6.99</v>
      </c>
      <c r="D83" s="524">
        <v>12.6</v>
      </c>
      <c r="E83" s="524">
        <v>12.99</v>
      </c>
      <c r="F83" s="525">
        <v>20</v>
      </c>
      <c r="G83" s="524">
        <f>9+(18.5/28)</f>
        <v>9.6607142857142865</v>
      </c>
      <c r="H83" s="112">
        <v>5</v>
      </c>
      <c r="I83" s="112">
        <v>5.99</v>
      </c>
      <c r="J83" s="319">
        <v>1</v>
      </c>
      <c r="K83" s="319">
        <v>0.33600000000000002</v>
      </c>
      <c r="L83" s="531">
        <v>2.25</v>
      </c>
      <c r="M83" s="112">
        <v>2.4990000000000001</v>
      </c>
      <c r="N83" s="113">
        <f t="shared" ref="N83:O86" si="106">T83*$D$6</f>
        <v>2.235943189573657</v>
      </c>
      <c r="O83" s="113">
        <f t="shared" si="106"/>
        <v>2.5388886234945733</v>
      </c>
      <c r="P83" s="49">
        <f>F83/20</f>
        <v>1</v>
      </c>
      <c r="Q83" s="112">
        <f>LOG(G83)*4/3</f>
        <v>1.3133456508004919</v>
      </c>
      <c r="R83" s="112">
        <f t="shared" ref="R83" si="107">(H83/7)^0.5</f>
        <v>0.84515425472851657</v>
      </c>
      <c r="S83" s="112">
        <f t="shared" ref="S83" si="108">(I83/7)^0.5</f>
        <v>0.92504826128926143</v>
      </c>
      <c r="T83" s="113">
        <f>((B83+P83+Q83)*R83*J83)+((D83+P83+Q83)*K83*R83)</f>
        <v>11.768122050387669</v>
      </c>
      <c r="U83" s="113">
        <f>((C83+P83+Q83)*S83*J83)+((E83+P83+Q83)*K83*S83)</f>
        <v>13.362571702603017</v>
      </c>
      <c r="V83" s="527">
        <f>L83/(U83)</f>
        <v>0.16838076158361809</v>
      </c>
      <c r="W83" s="527">
        <f>M83/(T83)</f>
        <v>0.21235333805173079</v>
      </c>
      <c r="X83" s="533">
        <f>(W83-V83)/V83</f>
        <v>0.26114964711260003</v>
      </c>
    </row>
    <row r="84" spans="1:24" x14ac:dyDescent="0.25">
      <c r="A84" s="535" t="s">
        <v>1612</v>
      </c>
      <c r="B84" s="524">
        <v>6.6</v>
      </c>
      <c r="C84" s="524">
        <v>6.99</v>
      </c>
      <c r="D84" s="524">
        <v>12.6</v>
      </c>
      <c r="E84" s="524">
        <v>12.99</v>
      </c>
      <c r="F84" s="525">
        <v>20</v>
      </c>
      <c r="G84" s="524">
        <f>9+(18.5/28)</f>
        <v>9.6607142857142865</v>
      </c>
      <c r="H84" s="112">
        <v>5</v>
      </c>
      <c r="I84" s="112">
        <v>5.99</v>
      </c>
      <c r="J84" s="319">
        <v>0.60699999999999998</v>
      </c>
      <c r="K84" s="319">
        <v>0.248</v>
      </c>
      <c r="L84" s="531">
        <v>1.25</v>
      </c>
      <c r="M84" s="112">
        <v>1.4999</v>
      </c>
      <c r="N84" s="113">
        <f t="shared" si="106"/>
        <v>1.4627025534008067</v>
      </c>
      <c r="O84" s="113">
        <f t="shared" si="106"/>
        <v>1.6595814464932539</v>
      </c>
      <c r="P84" s="49">
        <f>F84/20</f>
        <v>1</v>
      </c>
      <c r="Q84" s="112">
        <f>LOG(G84)*4/3</f>
        <v>1.3133456508004919</v>
      </c>
      <c r="R84" s="112">
        <f t="shared" ref="R84:R85" si="109">(H84/7)^0.5</f>
        <v>0.84515425472851657</v>
      </c>
      <c r="S84" s="112">
        <f t="shared" ref="S84:S85" si="110">(I84/7)^0.5</f>
        <v>0.92504826128926143</v>
      </c>
      <c r="T84" s="113">
        <f>((B84+P84+Q84)*R84*J84)+((D84+P84+Q84)*K84*R84)</f>
        <v>7.6984344915831926</v>
      </c>
      <c r="U84" s="113">
        <f>((C84+P84+Q84)*S84*J84)+((E84+P84+Q84)*K84*S84)</f>
        <v>8.734639192069757</v>
      </c>
      <c r="V84" s="527">
        <f>L84/(U84)</f>
        <v>0.14310837259710557</v>
      </c>
      <c r="W84" s="527">
        <f>M84/(T84)</f>
        <v>0.19483181959135482</v>
      </c>
      <c r="X84" s="533">
        <f>(W84-V84)/V84</f>
        <v>0.36142851781192969</v>
      </c>
    </row>
    <row r="85" spans="1:24" x14ac:dyDescent="0.25">
      <c r="A85" s="535" t="s">
        <v>1017</v>
      </c>
      <c r="B85" s="524">
        <v>4</v>
      </c>
      <c r="C85" s="524">
        <v>4.99</v>
      </c>
      <c r="D85" s="524">
        <v>4</v>
      </c>
      <c r="E85" s="524">
        <v>4.99</v>
      </c>
      <c r="F85" s="525">
        <v>30</v>
      </c>
      <c r="G85" s="524">
        <f>5+(12.5/28)</f>
        <v>5.4464285714285712</v>
      </c>
      <c r="H85" s="112">
        <v>6</v>
      </c>
      <c r="I85" s="112">
        <v>6.99</v>
      </c>
      <c r="J85" s="319">
        <v>1</v>
      </c>
      <c r="K85" s="319">
        <v>0.33600000000000002</v>
      </c>
      <c r="L85" s="531">
        <v>1.25</v>
      </c>
      <c r="M85" s="112">
        <v>1.4999</v>
      </c>
      <c r="N85" s="113">
        <f t="shared" si="106"/>
        <v>1.5232143112872025</v>
      </c>
      <c r="O85" s="113">
        <f t="shared" si="106"/>
        <v>1.8952059259326475</v>
      </c>
      <c r="P85" s="49">
        <f>F85/20</f>
        <v>1.5</v>
      </c>
      <c r="Q85" s="112">
        <f>LOG(G85)*4/3</f>
        <v>0.98148241645411394</v>
      </c>
      <c r="R85" s="112">
        <f t="shared" si="109"/>
        <v>0.92582009977255142</v>
      </c>
      <c r="S85" s="112">
        <f t="shared" si="110"/>
        <v>0.99928545900129484</v>
      </c>
      <c r="T85" s="113">
        <f>((B85+P85+Q85)*R85*J85)+((D85+P85+Q85)*K85*R85)</f>
        <v>8.0169174278273818</v>
      </c>
      <c r="U85" s="113">
        <f>((C85+P85+Q85)*S85*J85)+((E85+P85+Q85)*K85*S85)</f>
        <v>9.9747680312244604</v>
      </c>
      <c r="V85" s="527">
        <f>L85/(U85)</f>
        <v>0.1253161974380827</v>
      </c>
      <c r="W85" s="527">
        <f>M85/(T85)</f>
        <v>0.18709186086833368</v>
      </c>
      <c r="X85" s="533">
        <f>(W85-V85)/V85</f>
        <v>0.49295833015339963</v>
      </c>
    </row>
    <row r="86" spans="1:24" x14ac:dyDescent="0.25">
      <c r="A86" s="535" t="s">
        <v>1017</v>
      </c>
      <c r="B86" s="524">
        <v>4</v>
      </c>
      <c r="C86" s="524">
        <v>4.99</v>
      </c>
      <c r="D86" s="524">
        <v>4</v>
      </c>
      <c r="E86" s="524">
        <v>4.99</v>
      </c>
      <c r="F86" s="525">
        <v>30</v>
      </c>
      <c r="G86" s="524">
        <f>5+(12.5/28)</f>
        <v>5.4464285714285712</v>
      </c>
      <c r="H86" s="112">
        <v>6</v>
      </c>
      <c r="I86" s="112">
        <v>6.99</v>
      </c>
      <c r="J86" s="319">
        <v>0.60699999999999998</v>
      </c>
      <c r="K86" s="319">
        <v>0.248</v>
      </c>
      <c r="L86" s="531">
        <v>0.75</v>
      </c>
      <c r="M86" s="112">
        <v>0.99</v>
      </c>
      <c r="N86" s="113">
        <f t="shared" si="106"/>
        <v>0.97481155400490882</v>
      </c>
      <c r="O86" s="113">
        <f t="shared" si="106"/>
        <v>1.2128750499045013</v>
      </c>
      <c r="P86" s="49">
        <f>F86/20</f>
        <v>1.5</v>
      </c>
      <c r="Q86" s="112">
        <f>LOG(G86)*4/3</f>
        <v>0.98148241645411394</v>
      </c>
      <c r="R86" s="112">
        <f t="shared" ref="R86" si="111">(H86/7)^0.5</f>
        <v>0.92582009977255142</v>
      </c>
      <c r="S86" s="112">
        <f t="shared" ref="S86" si="112">(I86/7)^0.5</f>
        <v>0.99928545900129484</v>
      </c>
      <c r="T86" s="113">
        <f>((B86+P86+Q86)*R86*J86)+((D86+P86+Q86)*K86*R86)</f>
        <v>5.1305871263416254</v>
      </c>
      <c r="U86" s="113">
        <f>((C86+P86+Q86)*S86*J86)+((E86+P86+Q86)*K86*S86)</f>
        <v>6.3835528942342172</v>
      </c>
      <c r="V86" s="527">
        <f>L86/(U86)</f>
        <v>0.11748943142265157</v>
      </c>
      <c r="W86" s="527">
        <f>M86/(T86)</f>
        <v>0.19296037190697146</v>
      </c>
      <c r="X86" s="533">
        <f>(W86-V86)/V86</f>
        <v>0.64236365407901141</v>
      </c>
    </row>
    <row r="87" spans="1:24" x14ac:dyDescent="0.25">
      <c r="A87" s="535" t="s">
        <v>1792</v>
      </c>
      <c r="B87" s="524">
        <v>12</v>
      </c>
      <c r="C87" s="524">
        <v>12.99</v>
      </c>
      <c r="D87" s="524">
        <v>10</v>
      </c>
      <c r="E87" s="524">
        <v>10.99</v>
      </c>
      <c r="F87" s="525">
        <v>6</v>
      </c>
      <c r="G87" s="524">
        <v>6</v>
      </c>
      <c r="H87" s="112">
        <v>5</v>
      </c>
      <c r="I87" s="112">
        <v>5.99</v>
      </c>
      <c r="J87" s="319">
        <v>1</v>
      </c>
      <c r="K87" s="319">
        <v>0.33600000000000002</v>
      </c>
      <c r="L87" s="531">
        <v>3.25</v>
      </c>
      <c r="M87" s="112">
        <v>3.4998999999999998</v>
      </c>
      <c r="N87" s="113">
        <f t="shared" ref="N87:N90" si="113">T87*$D$6</f>
        <v>2.7534448519750363</v>
      </c>
      <c r="O87" s="113">
        <f t="shared" ref="O87:O90" si="114">U87*$D$6</f>
        <v>3.2461992327432547</v>
      </c>
      <c r="P87" s="49">
        <f t="shared" ref="P87:P90" si="115">F87/20</f>
        <v>0.3</v>
      </c>
      <c r="Q87" s="112">
        <f t="shared" ref="Q87:Q90" si="116">LOG(G87)*4/3</f>
        <v>1.0375350005115249</v>
      </c>
      <c r="R87" s="112">
        <f t="shared" ref="R87:R90" si="117">(H87/7)^0.5</f>
        <v>0.84515425472851657</v>
      </c>
      <c r="S87" s="112">
        <f t="shared" ref="S87:S90" si="118">(I87/7)^0.5</f>
        <v>0.92504826128926143</v>
      </c>
      <c r="T87" s="113">
        <f t="shared" ref="T87:T90" si="119">((B87+P87+Q87)*R87*J87)+((D87+P87+Q87)*K87*R87)</f>
        <v>14.491815010394928</v>
      </c>
      <c r="U87" s="113">
        <f t="shared" ref="U87:U90" si="120">((C87+P87+Q87)*S87*J87)+((E87+P87+Q87)*K87*S87)</f>
        <v>17.085259119701341</v>
      </c>
      <c r="V87" s="527">
        <f t="shared" ref="V87:V90" si="121">L87/(U87)</f>
        <v>0.19022245885942476</v>
      </c>
      <c r="W87" s="527">
        <f t="shared" ref="W87:W90" si="122">M87/(T87)</f>
        <v>0.24150874114039778</v>
      </c>
      <c r="X87" s="533">
        <f t="shared" ref="X87:X90" si="123">(W87-V87)/V87</f>
        <v>0.26961212986356042</v>
      </c>
    </row>
    <row r="88" spans="1:24" x14ac:dyDescent="0.25">
      <c r="A88" s="535" t="s">
        <v>1792</v>
      </c>
      <c r="B88" s="524">
        <v>12</v>
      </c>
      <c r="C88" s="524">
        <v>12.99</v>
      </c>
      <c r="D88" s="524">
        <v>10</v>
      </c>
      <c r="E88" s="524">
        <v>10.99</v>
      </c>
      <c r="F88" s="525">
        <v>6</v>
      </c>
      <c r="G88" s="524">
        <v>6</v>
      </c>
      <c r="H88" s="112">
        <v>5</v>
      </c>
      <c r="I88" s="112">
        <v>5.99</v>
      </c>
      <c r="J88" s="319">
        <v>0.60699999999999998</v>
      </c>
      <c r="K88" s="319">
        <v>0.248</v>
      </c>
      <c r="L88" s="531">
        <v>2</v>
      </c>
      <c r="M88" s="112">
        <v>2.25</v>
      </c>
      <c r="N88" s="113">
        <f t="shared" si="113"/>
        <v>1.7515336479685548</v>
      </c>
      <c r="O88" s="113">
        <f t="shared" si="114"/>
        <v>2.0658807366664971</v>
      </c>
      <c r="P88" s="49">
        <f t="shared" si="115"/>
        <v>0.3</v>
      </c>
      <c r="Q88" s="112">
        <f t="shared" si="116"/>
        <v>1.0375350005115249</v>
      </c>
      <c r="R88" s="112">
        <f t="shared" si="117"/>
        <v>0.84515425472851657</v>
      </c>
      <c r="S88" s="112">
        <f t="shared" si="118"/>
        <v>0.92504826128926143</v>
      </c>
      <c r="T88" s="113">
        <f t="shared" si="119"/>
        <v>9.2185981472029201</v>
      </c>
      <c r="U88" s="113">
        <f t="shared" si="120"/>
        <v>10.873056508771038</v>
      </c>
      <c r="V88" s="527">
        <f t="shared" si="121"/>
        <v>0.18394091839646445</v>
      </c>
      <c r="W88" s="527">
        <f t="shared" si="122"/>
        <v>0.24407181700209898</v>
      </c>
      <c r="X88" s="533">
        <f t="shared" si="123"/>
        <v>0.32690332923112292</v>
      </c>
    </row>
    <row r="89" spans="1:24" x14ac:dyDescent="0.25">
      <c r="A89" s="535" t="s">
        <v>1907</v>
      </c>
      <c r="B89" s="524">
        <v>4</v>
      </c>
      <c r="C89" s="524">
        <v>4.99</v>
      </c>
      <c r="D89" s="524">
        <v>10</v>
      </c>
      <c r="E89" s="524">
        <v>10.99</v>
      </c>
      <c r="F89" s="525">
        <v>10</v>
      </c>
      <c r="G89" s="524">
        <v>4</v>
      </c>
      <c r="H89" s="112">
        <v>5</v>
      </c>
      <c r="I89" s="112">
        <v>5.99</v>
      </c>
      <c r="J89" s="319">
        <v>1</v>
      </c>
      <c r="K89" s="319">
        <v>0.33600000000000002</v>
      </c>
      <c r="L89" s="531">
        <v>1.25</v>
      </c>
      <c r="M89" s="112">
        <v>1.4990000000000001</v>
      </c>
      <c r="N89" s="113">
        <f t="shared" si="113"/>
        <v>1.4613471034240042</v>
      </c>
      <c r="O89" s="113">
        <f t="shared" si="114"/>
        <v>1.8319570763254949</v>
      </c>
      <c r="P89" s="49">
        <f t="shared" si="115"/>
        <v>0.5</v>
      </c>
      <c r="Q89" s="112">
        <f t="shared" si="116"/>
        <v>0.80274665510394982</v>
      </c>
      <c r="R89" s="112">
        <f t="shared" si="117"/>
        <v>0.84515425472851657</v>
      </c>
      <c r="S89" s="112">
        <f t="shared" si="118"/>
        <v>0.92504826128926143</v>
      </c>
      <c r="T89" s="113">
        <f t="shared" si="119"/>
        <v>7.6913005443368636</v>
      </c>
      <c r="U89" s="113">
        <f t="shared" si="120"/>
        <v>9.6418793490815524</v>
      </c>
      <c r="V89" s="527">
        <f t="shared" si="121"/>
        <v>0.12964277551544659</v>
      </c>
      <c r="W89" s="527">
        <f t="shared" si="122"/>
        <v>0.1948955175212494</v>
      </c>
      <c r="X89" s="533">
        <f t="shared" si="123"/>
        <v>0.50332725249335719</v>
      </c>
    </row>
    <row r="90" spans="1:24" x14ac:dyDescent="0.25">
      <c r="A90" s="535" t="s">
        <v>1907</v>
      </c>
      <c r="B90" s="524">
        <v>4</v>
      </c>
      <c r="C90" s="524">
        <v>4.99</v>
      </c>
      <c r="D90" s="524">
        <v>10</v>
      </c>
      <c r="E90" s="524">
        <v>10.99</v>
      </c>
      <c r="F90" s="525">
        <v>10</v>
      </c>
      <c r="G90" s="524">
        <v>4</v>
      </c>
      <c r="H90" s="112">
        <v>5</v>
      </c>
      <c r="I90" s="112">
        <v>5.99</v>
      </c>
      <c r="J90" s="319">
        <v>0.60699999999999998</v>
      </c>
      <c r="K90" s="319">
        <v>0.248</v>
      </c>
      <c r="L90" s="531">
        <v>0.75</v>
      </c>
      <c r="M90" s="112">
        <v>0.99</v>
      </c>
      <c r="N90" s="113">
        <f t="shared" si="113"/>
        <v>0.96698424976461417</v>
      </c>
      <c r="O90" s="113">
        <f t="shared" si="114"/>
        <v>1.2071664219202283</v>
      </c>
      <c r="P90" s="49">
        <f t="shared" si="115"/>
        <v>0.5</v>
      </c>
      <c r="Q90" s="112">
        <f t="shared" si="116"/>
        <v>0.80274665510394982</v>
      </c>
      <c r="R90" s="112">
        <f t="shared" si="117"/>
        <v>0.84515425472851657</v>
      </c>
      <c r="S90" s="112">
        <f t="shared" si="118"/>
        <v>0.92504826128926143</v>
      </c>
      <c r="T90" s="113">
        <f t="shared" si="119"/>
        <v>5.0893907882348115</v>
      </c>
      <c r="U90" s="113">
        <f t="shared" si="120"/>
        <v>6.3535074837906755</v>
      </c>
      <c r="V90" s="527">
        <f t="shared" si="121"/>
        <v>0.11804503290716667</v>
      </c>
      <c r="W90" s="527">
        <f t="shared" si="122"/>
        <v>0.19452229966081433</v>
      </c>
      <c r="X90" s="533">
        <f t="shared" si="123"/>
        <v>0.64786518221220835</v>
      </c>
    </row>
    <row r="91" spans="1:24" x14ac:dyDescent="0.25">
      <c r="G91" s="518"/>
      <c r="H91" s="518"/>
      <c r="I91" s="518"/>
      <c r="J91" s="518"/>
      <c r="K91" s="60"/>
      <c r="L91" s="60"/>
      <c r="M91" s="60"/>
      <c r="N91" s="60"/>
      <c r="O91" s="60"/>
    </row>
    <row r="92" spans="1:24" x14ac:dyDescent="0.25">
      <c r="G92" s="518"/>
      <c r="H92" s="518"/>
      <c r="I92" s="518"/>
      <c r="J92" s="518"/>
      <c r="K92" s="60"/>
      <c r="L92" s="60"/>
      <c r="M92" s="60"/>
      <c r="N92" s="60"/>
      <c r="O92" s="60"/>
    </row>
    <row r="93" spans="1:24" x14ac:dyDescent="0.25">
      <c r="G93" s="518"/>
      <c r="H93" s="518"/>
      <c r="I93" s="518"/>
      <c r="J93" s="518"/>
      <c r="K93" s="60"/>
      <c r="L93" s="60"/>
      <c r="M93" s="60"/>
      <c r="N93" s="60"/>
      <c r="O93" s="60"/>
    </row>
    <row r="94" spans="1:24" x14ac:dyDescent="0.25">
      <c r="A94" s="16" t="s">
        <v>599</v>
      </c>
      <c r="B94" s="16" t="s">
        <v>637</v>
      </c>
      <c r="C94" s="16" t="s">
        <v>648</v>
      </c>
      <c r="E94" s="39" t="s">
        <v>63</v>
      </c>
      <c r="G94" s="518"/>
      <c r="H94" s="518"/>
      <c r="I94" s="518"/>
      <c r="J94" s="518"/>
      <c r="K94" s="60"/>
      <c r="L94" s="60"/>
      <c r="M94" s="60"/>
      <c r="N94" s="60"/>
      <c r="O94" s="60"/>
    </row>
    <row r="95" spans="1:24" x14ac:dyDescent="0.25">
      <c r="A95" s="112">
        <v>0</v>
      </c>
      <c r="B95" s="49" t="s">
        <v>638</v>
      </c>
      <c r="C95" s="113">
        <v>0</v>
      </c>
      <c r="E95" s="39" t="s">
        <v>64</v>
      </c>
      <c r="G95" s="518"/>
      <c r="H95" s="518"/>
      <c r="I95" s="518"/>
      <c r="J95" s="518"/>
      <c r="K95" s="60"/>
      <c r="L95" s="60"/>
      <c r="M95" s="60"/>
      <c r="N95" s="60"/>
      <c r="O95" s="60"/>
    </row>
    <row r="96" spans="1:24" x14ac:dyDescent="0.25">
      <c r="A96" s="112">
        <v>0.14433756729740646</v>
      </c>
      <c r="B96" s="49" t="s">
        <v>639</v>
      </c>
      <c r="C96" s="113">
        <v>2.8867513459481291</v>
      </c>
      <c r="E96" s="39" t="s">
        <v>65</v>
      </c>
      <c r="G96" s="518"/>
      <c r="H96" s="518"/>
      <c r="I96" s="518"/>
      <c r="J96" s="518"/>
      <c r="K96" s="60"/>
      <c r="L96" s="60"/>
      <c r="M96" s="60"/>
      <c r="N96" s="60"/>
      <c r="O96" s="60"/>
    </row>
    <row r="97" spans="1:15" x14ac:dyDescent="0.25">
      <c r="A97" s="112">
        <v>0.20412414523193151</v>
      </c>
      <c r="B97" s="49" t="s">
        <v>640</v>
      </c>
      <c r="C97" s="113">
        <v>4.0824829046386304</v>
      </c>
      <c r="E97" s="39" t="s">
        <v>66</v>
      </c>
      <c r="G97" s="518"/>
      <c r="H97" s="518"/>
      <c r="I97" s="518"/>
      <c r="J97" s="518"/>
      <c r="K97" s="60"/>
      <c r="L97" s="60"/>
      <c r="M97" s="60"/>
      <c r="N97" s="60"/>
      <c r="O97" s="60"/>
    </row>
    <row r="98" spans="1:15" x14ac:dyDescent="0.25">
      <c r="A98" s="112">
        <v>0.25</v>
      </c>
      <c r="B98" s="49" t="s">
        <v>641</v>
      </c>
      <c r="C98" s="113">
        <v>5</v>
      </c>
      <c r="E98" s="39" t="s">
        <v>67</v>
      </c>
    </row>
    <row r="99" spans="1:15" x14ac:dyDescent="0.25">
      <c r="A99" s="112">
        <v>0.28867513459481292</v>
      </c>
      <c r="B99" s="49" t="s">
        <v>642</v>
      </c>
      <c r="C99" s="113">
        <v>5.7735026918962582</v>
      </c>
      <c r="E99" s="39" t="s">
        <v>68</v>
      </c>
    </row>
    <row r="100" spans="1:15" x14ac:dyDescent="0.25">
      <c r="A100" s="112">
        <v>0.3227486121839514</v>
      </c>
      <c r="B100" s="49" t="s">
        <v>643</v>
      </c>
      <c r="C100" s="113">
        <v>6.4549722436790278</v>
      </c>
      <c r="E100" s="39" t="s">
        <v>69</v>
      </c>
    </row>
    <row r="101" spans="1:15" x14ac:dyDescent="0.25">
      <c r="A101" s="112">
        <v>0.35355339059327379</v>
      </c>
      <c r="B101" s="49" t="s">
        <v>644</v>
      </c>
      <c r="C101" s="113">
        <v>7.0710678118654755</v>
      </c>
      <c r="E101" s="39" t="s">
        <v>70</v>
      </c>
    </row>
    <row r="102" spans="1:15" x14ac:dyDescent="0.25">
      <c r="A102" s="112">
        <v>0.38188130791298669</v>
      </c>
      <c r="B102" s="49" t="s">
        <v>645</v>
      </c>
      <c r="C102" s="113">
        <v>7.6376261582597333</v>
      </c>
      <c r="E102" s="39" t="s">
        <v>71</v>
      </c>
    </row>
    <row r="103" spans="1:15" x14ac:dyDescent="0.25">
      <c r="A103" s="112">
        <v>0.40824829046386302</v>
      </c>
      <c r="B103" s="49" t="s">
        <v>646</v>
      </c>
      <c r="C103" s="113">
        <v>8.1649658092772608</v>
      </c>
      <c r="E103" s="39" t="s">
        <v>72</v>
      </c>
    </row>
    <row r="104" spans="1:15" x14ac:dyDescent="0.25">
      <c r="A104" s="112">
        <v>0.43301270189221935</v>
      </c>
      <c r="B104" s="49" t="s">
        <v>647</v>
      </c>
      <c r="C104" s="113">
        <v>8.6602540378443873</v>
      </c>
      <c r="E104" s="39" t="s">
        <v>73</v>
      </c>
    </row>
    <row r="105" spans="1:15" x14ac:dyDescent="0.25">
      <c r="A105" s="112">
        <v>0.45643546458763845</v>
      </c>
      <c r="B105" s="49" t="s">
        <v>651</v>
      </c>
      <c r="C105" s="113">
        <v>9.1287092917527684</v>
      </c>
      <c r="E105" s="39" t="s">
        <v>74</v>
      </c>
    </row>
    <row r="106" spans="1:15" x14ac:dyDescent="0.25">
      <c r="A106" s="112">
        <v>0.47871355387816911</v>
      </c>
      <c r="B106" s="49" t="s">
        <v>652</v>
      </c>
      <c r="C106" s="113">
        <v>9.5742710775633828</v>
      </c>
      <c r="E106" s="39" t="s">
        <v>75</v>
      </c>
    </row>
    <row r="107" spans="1:15" x14ac:dyDescent="0.25">
      <c r="A107" s="112">
        <v>0.5</v>
      </c>
      <c r="B107" s="49" t="s">
        <v>653</v>
      </c>
      <c r="C107" s="113">
        <v>10</v>
      </c>
      <c r="E107" s="39" t="s">
        <v>76</v>
      </c>
    </row>
    <row r="108" spans="1:15" x14ac:dyDescent="0.25">
      <c r="A108" s="112">
        <v>0.52041649986653316</v>
      </c>
      <c r="B108" s="49" t="s">
        <v>654</v>
      </c>
      <c r="C108" s="113">
        <v>10.408329997330663</v>
      </c>
      <c r="E108" s="39" t="s">
        <v>77</v>
      </c>
    </row>
    <row r="109" spans="1:15" x14ac:dyDescent="0.25">
      <c r="A109" s="112">
        <v>0.54006172486732174</v>
      </c>
      <c r="B109" s="49" t="s">
        <v>655</v>
      </c>
      <c r="C109" s="113">
        <v>10.801234497346435</v>
      </c>
      <c r="E109" s="39" t="s">
        <v>78</v>
      </c>
    </row>
    <row r="110" spans="1:15" x14ac:dyDescent="0.25">
      <c r="A110" s="112">
        <v>0.55901699437494745</v>
      </c>
      <c r="B110" s="49" t="s">
        <v>656</v>
      </c>
      <c r="C110" s="113">
        <v>11.180339887498949</v>
      </c>
      <c r="E110" s="39" t="s">
        <v>79</v>
      </c>
    </row>
    <row r="111" spans="1:15" x14ac:dyDescent="0.25">
      <c r="A111" s="112">
        <v>0.57735026918962584</v>
      </c>
      <c r="B111" s="49" t="s">
        <v>657</v>
      </c>
      <c r="C111" s="113">
        <v>11.547005383792516</v>
      </c>
      <c r="E111" s="39" t="s">
        <v>80</v>
      </c>
    </row>
    <row r="112" spans="1:15" x14ac:dyDescent="0.25">
      <c r="A112" s="112">
        <v>0.59511903571190417</v>
      </c>
      <c r="B112" s="49" t="s">
        <v>658</v>
      </c>
      <c r="C112" s="113">
        <v>11.902380714238083</v>
      </c>
      <c r="E112" s="39" t="s">
        <v>81</v>
      </c>
    </row>
    <row r="113" spans="1:5" x14ac:dyDescent="0.25">
      <c r="A113" s="112">
        <v>0.61237243569579458</v>
      </c>
      <c r="B113" s="49" t="s">
        <v>659</v>
      </c>
      <c r="C113" s="113">
        <v>12.247448713915892</v>
      </c>
      <c r="E113" s="39" t="s">
        <v>82</v>
      </c>
    </row>
    <row r="114" spans="1:5" x14ac:dyDescent="0.25">
      <c r="A114" s="112">
        <v>0.62915286960589589</v>
      </c>
      <c r="B114" s="49" t="s">
        <v>660</v>
      </c>
      <c r="C114" s="113">
        <v>12.583057392117919</v>
      </c>
      <c r="E114" s="39" t="s">
        <v>83</v>
      </c>
    </row>
    <row r="115" spans="1:5" x14ac:dyDescent="0.25">
      <c r="A115" s="112">
        <v>0.6454972243679028</v>
      </c>
      <c r="B115" s="49" t="s">
        <v>661</v>
      </c>
      <c r="C115" s="113">
        <v>12.909944487358056</v>
      </c>
    </row>
    <row r="116" spans="1:5" x14ac:dyDescent="0.25">
      <c r="A116" s="112">
        <v>0.66143782776614768</v>
      </c>
      <c r="B116" s="49" t="s">
        <v>662</v>
      </c>
      <c r="C116" s="113">
        <v>13.228756555322953</v>
      </c>
    </row>
    <row r="117" spans="1:5" x14ac:dyDescent="0.25">
      <c r="A117" s="112">
        <v>0.67700320038633011</v>
      </c>
      <c r="B117" s="49" t="s">
        <v>663</v>
      </c>
      <c r="C117" s="113">
        <v>13.540064007726603</v>
      </c>
    </row>
    <row r="118" spans="1:5" x14ac:dyDescent="0.25">
      <c r="A118" s="112">
        <v>0.69221865524317294</v>
      </c>
      <c r="B118" s="49" t="s">
        <v>664</v>
      </c>
      <c r="C118" s="113">
        <v>13.844373104863459</v>
      </c>
    </row>
    <row r="119" spans="1:5" x14ac:dyDescent="0.25">
      <c r="A119" s="112">
        <v>0.70710678118654757</v>
      </c>
      <c r="B119" s="49" t="s">
        <v>665</v>
      </c>
      <c r="C119" s="113">
        <v>14.142135623730951</v>
      </c>
    </row>
    <row r="120" spans="1:5" x14ac:dyDescent="0.25">
      <c r="A120" s="112">
        <v>0.72168783648703227</v>
      </c>
      <c r="B120" s="49" t="s">
        <v>666</v>
      </c>
      <c r="C120" s="113">
        <v>14.433756729740645</v>
      </c>
    </row>
    <row r="121" spans="1:5" x14ac:dyDescent="0.25">
      <c r="A121" s="112">
        <v>0.73598007219398731</v>
      </c>
      <c r="B121" s="49" t="s">
        <v>667</v>
      </c>
      <c r="C121" s="113">
        <v>14.719601443879746</v>
      </c>
    </row>
    <row r="122" spans="1:5" x14ac:dyDescent="0.25">
      <c r="A122" s="112">
        <v>0.75</v>
      </c>
      <c r="B122" s="49" t="s">
        <v>668</v>
      </c>
      <c r="C122" s="113">
        <v>15</v>
      </c>
    </row>
    <row r="123" spans="1:5" x14ac:dyDescent="0.25">
      <c r="A123" s="112">
        <v>0.76376261582597338</v>
      </c>
      <c r="B123" s="49" t="s">
        <v>669</v>
      </c>
      <c r="C123" s="113">
        <v>15.275252316519467</v>
      </c>
    </row>
    <row r="124" spans="1:5" x14ac:dyDescent="0.25">
      <c r="A124" s="112">
        <v>0.77728158775740119</v>
      </c>
      <c r="B124" s="49" t="s">
        <v>670</v>
      </c>
      <c r="C124" s="113">
        <v>15.545631755148024</v>
      </c>
    </row>
    <row r="125" spans="1:5" x14ac:dyDescent="0.25">
      <c r="A125" s="112">
        <v>0.79056941504209488</v>
      </c>
      <c r="B125" s="49" t="s">
        <v>671</v>
      </c>
      <c r="C125" s="113">
        <v>15.811388300841898</v>
      </c>
    </row>
    <row r="126" spans="1:5" x14ac:dyDescent="0.25">
      <c r="A126" s="112">
        <v>0.80363756341607961</v>
      </c>
      <c r="B126" s="49" t="s">
        <v>672</v>
      </c>
      <c r="C126" s="113">
        <v>16.072751268321593</v>
      </c>
    </row>
    <row r="127" spans="1:5" x14ac:dyDescent="0.25">
      <c r="A127" s="112">
        <v>0.81649658092772603</v>
      </c>
      <c r="B127" s="49" t="s">
        <v>673</v>
      </c>
      <c r="C127" s="113">
        <v>16.329931618554522</v>
      </c>
    </row>
    <row r="128" spans="1:5" x14ac:dyDescent="0.25">
      <c r="A128" s="112">
        <v>0.82915619758884995</v>
      </c>
      <c r="B128" s="49" t="s">
        <v>674</v>
      </c>
      <c r="C128" s="113">
        <v>16.583123951776997</v>
      </c>
    </row>
    <row r="129" spans="1:3" x14ac:dyDescent="0.25">
      <c r="A129" s="112">
        <v>0.84162541153017312</v>
      </c>
      <c r="B129" s="49" t="s">
        <v>675</v>
      </c>
      <c r="C129" s="113">
        <v>16.832508230603462</v>
      </c>
    </row>
    <row r="130" spans="1:3" x14ac:dyDescent="0.25">
      <c r="A130" s="112">
        <v>0.85391256382996661</v>
      </c>
      <c r="B130" s="49" t="s">
        <v>676</v>
      </c>
      <c r="C130" s="113">
        <v>17.078251276599332</v>
      </c>
    </row>
    <row r="131" spans="1:3" x14ac:dyDescent="0.25">
      <c r="A131" s="112">
        <v>0.86602540378443871</v>
      </c>
      <c r="B131" s="49" t="s">
        <v>677</v>
      </c>
      <c r="C131" s="113">
        <v>17.320508075688775</v>
      </c>
    </row>
    <row r="132" spans="1:3" x14ac:dyDescent="0.25">
      <c r="A132" s="112">
        <v>0.87797114607106164</v>
      </c>
      <c r="B132" s="49" t="s">
        <v>678</v>
      </c>
      <c r="C132" s="113">
        <v>17.559422921421234</v>
      </c>
    </row>
    <row r="133" spans="1:3" x14ac:dyDescent="0.25">
      <c r="A133" s="112">
        <v>0.88975652100260927</v>
      </c>
      <c r="B133" s="49" t="s">
        <v>679</v>
      </c>
      <c r="C133" s="113">
        <v>17.795130420052185</v>
      </c>
    </row>
    <row r="134" spans="1:3" x14ac:dyDescent="0.25">
      <c r="A134" s="112">
        <v>0.90138781886599728</v>
      </c>
      <c r="B134" s="49" t="s">
        <v>680</v>
      </c>
      <c r="C134" s="113">
        <v>18.027756377319946</v>
      </c>
    </row>
    <row r="135" spans="1:3" x14ac:dyDescent="0.25">
      <c r="A135" s="112">
        <v>0.9128709291752769</v>
      </c>
      <c r="B135" s="49" t="s">
        <v>681</v>
      </c>
      <c r="C135" s="113">
        <v>18.257418583505537</v>
      </c>
    </row>
    <row r="136" spans="1:3" x14ac:dyDescent="0.25">
      <c r="A136" s="112">
        <v>0.92421137553411814</v>
      </c>
      <c r="B136" s="49" t="s">
        <v>681</v>
      </c>
      <c r="C136" s="113">
        <v>18.484227510682363</v>
      </c>
    </row>
    <row r="137" spans="1:3" x14ac:dyDescent="0.25">
      <c r="A137" s="112">
        <v>0.93541434669348544</v>
      </c>
      <c r="B137" s="49" t="s">
        <v>682</v>
      </c>
      <c r="C137" s="113">
        <v>18.708286933869708</v>
      </c>
    </row>
    <row r="138" spans="1:3" x14ac:dyDescent="0.25">
      <c r="A138" s="112">
        <v>0.9464847243000456</v>
      </c>
      <c r="B138" s="49" t="s">
        <v>683</v>
      </c>
      <c r="C138" s="113">
        <v>18.929694486000912</v>
      </c>
    </row>
    <row r="139" spans="1:3" x14ac:dyDescent="0.25">
      <c r="A139" s="112">
        <v>0.95742710775633821</v>
      </c>
      <c r="B139" s="49" t="s">
        <v>684</v>
      </c>
      <c r="C139" s="113">
        <v>19.148542155126766</v>
      </c>
    </row>
    <row r="140" spans="1:3" x14ac:dyDescent="0.25">
      <c r="A140" s="112">
        <v>0.96824583655185437</v>
      </c>
      <c r="B140" s="49" t="s">
        <v>685</v>
      </c>
      <c r="C140" s="113">
        <v>19.364916731037088</v>
      </c>
    </row>
    <row r="141" spans="1:3" x14ac:dyDescent="0.25">
      <c r="A141" s="112">
        <v>0.97894501037256099</v>
      </c>
      <c r="B141" s="49" t="s">
        <v>686</v>
      </c>
      <c r="C141" s="113">
        <v>19.57890020745122</v>
      </c>
    </row>
    <row r="142" spans="1:3" x14ac:dyDescent="0.25">
      <c r="A142" s="112">
        <v>0.98952850725315977</v>
      </c>
      <c r="B142" s="49" t="s">
        <v>686</v>
      </c>
      <c r="C142" s="113">
        <v>19.790570145063196</v>
      </c>
    </row>
    <row r="143" spans="1:3" x14ac:dyDescent="0.25">
      <c r="A143" s="112">
        <v>1</v>
      </c>
      <c r="B143" s="49" t="s">
        <v>687</v>
      </c>
      <c r="C143" s="113">
        <v>20</v>
      </c>
    </row>
    <row r="144" spans="1:3" x14ac:dyDescent="0.25">
      <c r="A144" s="112">
        <v>1</v>
      </c>
      <c r="B144" s="49" t="s">
        <v>687</v>
      </c>
      <c r="C144" s="113">
        <v>20</v>
      </c>
    </row>
    <row r="146" spans="1:5" ht="15.75" thickBot="1" x14ac:dyDescent="0.3"/>
    <row r="147" spans="1:5" ht="15.75" thickBot="1" x14ac:dyDescent="0.3">
      <c r="A147" s="519" t="s">
        <v>1843</v>
      </c>
      <c r="B147" s="519" t="s">
        <v>1844</v>
      </c>
      <c r="D147" s="2" t="s">
        <v>1540</v>
      </c>
      <c r="E147" s="2"/>
    </row>
    <row r="148" spans="1:5" ht="15.75" thickBot="1" x14ac:dyDescent="0.3">
      <c r="A148" s="324" t="s">
        <v>1845</v>
      </c>
      <c r="B148" s="324">
        <v>0</v>
      </c>
      <c r="D148" s="2" t="s">
        <v>1539</v>
      </c>
      <c r="E148" s="2"/>
    </row>
    <row r="149" spans="1:5" ht="15.75" thickBot="1" x14ac:dyDescent="0.3">
      <c r="A149" s="324" t="s">
        <v>1846</v>
      </c>
      <c r="B149" s="324" t="s">
        <v>1847</v>
      </c>
      <c r="D149" s="17" t="s">
        <v>57</v>
      </c>
      <c r="E149" s="17" t="s">
        <v>52</v>
      </c>
    </row>
    <row r="150" spans="1:5" ht="15.75" thickBot="1" x14ac:dyDescent="0.3">
      <c r="A150" s="324" t="s">
        <v>1848</v>
      </c>
      <c r="B150" s="324" t="s">
        <v>1849</v>
      </c>
      <c r="D150" s="11">
        <v>0</v>
      </c>
      <c r="E150" s="51">
        <f>(D150/7)^0.5</f>
        <v>0</v>
      </c>
    </row>
    <row r="151" spans="1:5" ht="15.75" thickBot="1" x14ac:dyDescent="0.3">
      <c r="A151" s="324" t="s">
        <v>1850</v>
      </c>
      <c r="B151" s="324" t="s">
        <v>1851</v>
      </c>
      <c r="D151" s="11">
        <v>0.5</v>
      </c>
      <c r="E151" s="51">
        <f>(D151/7)^0.5</f>
        <v>0.2672612419124244</v>
      </c>
    </row>
    <row r="152" spans="1:5" ht="15.75" thickBot="1" x14ac:dyDescent="0.3">
      <c r="A152" s="324" t="s">
        <v>1852</v>
      </c>
      <c r="B152" s="324" t="s">
        <v>1853</v>
      </c>
      <c r="D152" s="11">
        <v>1</v>
      </c>
      <c r="E152" s="51">
        <f t="shared" ref="E152:E164" si="124">(D152/7)^0.5</f>
        <v>0.3779644730092272</v>
      </c>
    </row>
    <row r="153" spans="1:5" ht="15.75" thickBot="1" x14ac:dyDescent="0.3">
      <c r="A153" s="324" t="s">
        <v>1063</v>
      </c>
      <c r="B153" s="324" t="s">
        <v>1854</v>
      </c>
      <c r="D153" s="11">
        <v>1.5</v>
      </c>
      <c r="E153" s="51">
        <f t="shared" si="124"/>
        <v>0.46291004988627571</v>
      </c>
    </row>
    <row r="154" spans="1:5" ht="15.75" thickBot="1" x14ac:dyDescent="0.3">
      <c r="A154" s="324" t="s">
        <v>1067</v>
      </c>
      <c r="B154" s="324" t="s">
        <v>1855</v>
      </c>
      <c r="D154" s="11">
        <v>2</v>
      </c>
      <c r="E154" s="51">
        <f t="shared" si="124"/>
        <v>0.53452248382484879</v>
      </c>
    </row>
    <row r="155" spans="1:5" ht="15.75" thickBot="1" x14ac:dyDescent="0.3">
      <c r="A155" s="324" t="s">
        <v>1856</v>
      </c>
      <c r="B155" s="324" t="s">
        <v>1857</v>
      </c>
      <c r="D155" s="11">
        <v>2.5</v>
      </c>
      <c r="E155" s="51">
        <f t="shared" si="124"/>
        <v>0.59761430466719678</v>
      </c>
    </row>
    <row r="156" spans="1:5" ht="15.75" thickBot="1" x14ac:dyDescent="0.3">
      <c r="A156" s="324" t="s">
        <v>47</v>
      </c>
      <c r="B156" s="324" t="s">
        <v>1858</v>
      </c>
      <c r="D156" s="11">
        <v>3</v>
      </c>
      <c r="E156" s="51">
        <f t="shared" si="124"/>
        <v>0.65465367070797709</v>
      </c>
    </row>
    <row r="157" spans="1:5" ht="15.75" thickBot="1" x14ac:dyDescent="0.3">
      <c r="A157" s="324" t="s">
        <v>1859</v>
      </c>
      <c r="B157" s="324" t="s">
        <v>1860</v>
      </c>
      <c r="D157" s="11">
        <v>3.5</v>
      </c>
      <c r="E157" s="51">
        <f t="shared" si="124"/>
        <v>0.70710678118654757</v>
      </c>
    </row>
    <row r="158" spans="1:5" ht="15.75" thickBot="1" x14ac:dyDescent="0.3">
      <c r="A158" s="324" t="s">
        <v>1861</v>
      </c>
      <c r="B158" s="324" t="s">
        <v>1862</v>
      </c>
      <c r="D158" s="11">
        <v>4</v>
      </c>
      <c r="E158" s="51">
        <f t="shared" si="124"/>
        <v>0.7559289460184544</v>
      </c>
    </row>
    <row r="159" spans="1:5" ht="15.75" thickBot="1" x14ac:dyDescent="0.3">
      <c r="A159" s="324" t="s">
        <v>1863</v>
      </c>
      <c r="B159" s="324" t="s">
        <v>1864</v>
      </c>
      <c r="D159" s="11">
        <v>4.5</v>
      </c>
      <c r="E159" s="51">
        <f t="shared" si="124"/>
        <v>0.80178372573727319</v>
      </c>
    </row>
    <row r="160" spans="1:5" ht="15.75" thickBot="1" x14ac:dyDescent="0.3">
      <c r="A160" s="324" t="s">
        <v>1865</v>
      </c>
      <c r="B160" s="324" t="s">
        <v>1866</v>
      </c>
      <c r="D160" s="11">
        <v>5</v>
      </c>
      <c r="E160" s="51">
        <f t="shared" si="124"/>
        <v>0.84515425472851657</v>
      </c>
    </row>
    <row r="161" spans="1:5" ht="15.75" thickBot="1" x14ac:dyDescent="0.3">
      <c r="A161" s="324" t="s">
        <v>1867</v>
      </c>
      <c r="B161" s="324" t="s">
        <v>1868</v>
      </c>
      <c r="D161" s="11">
        <v>5.5</v>
      </c>
      <c r="E161" s="51">
        <f t="shared" si="124"/>
        <v>0.88640526042791834</v>
      </c>
    </row>
    <row r="162" spans="1:5" ht="15.75" thickBot="1" x14ac:dyDescent="0.3">
      <c r="A162" s="324" t="s">
        <v>1295</v>
      </c>
      <c r="B162" s="324" t="s">
        <v>1869</v>
      </c>
      <c r="D162" s="11">
        <v>6</v>
      </c>
      <c r="E162" s="51">
        <f t="shared" si="124"/>
        <v>0.92582009977255142</v>
      </c>
    </row>
    <row r="163" spans="1:5" ht="15.75" thickBot="1" x14ac:dyDescent="0.3">
      <c r="A163" s="324" t="s">
        <v>1870</v>
      </c>
      <c r="B163" s="324" t="s">
        <v>1871</v>
      </c>
      <c r="D163" s="11">
        <v>6.5</v>
      </c>
      <c r="E163" s="51">
        <f t="shared" si="124"/>
        <v>0.96362411165943151</v>
      </c>
    </row>
    <row r="164" spans="1:5" ht="15.75" thickBot="1" x14ac:dyDescent="0.3">
      <c r="A164" s="324" t="s">
        <v>1296</v>
      </c>
      <c r="B164" s="324" t="s">
        <v>1872</v>
      </c>
      <c r="D164" s="11">
        <v>7</v>
      </c>
      <c r="E164" s="51">
        <f t="shared" si="124"/>
        <v>1</v>
      </c>
    </row>
    <row r="165" spans="1:5" ht="15.75" thickBot="1" x14ac:dyDescent="0.3">
      <c r="A165" s="324" t="s">
        <v>1297</v>
      </c>
      <c r="B165" s="324" t="s">
        <v>1873</v>
      </c>
    </row>
    <row r="166" spans="1:5" ht="15.75" thickBot="1" x14ac:dyDescent="0.3">
      <c r="A166" s="324" t="s">
        <v>1298</v>
      </c>
      <c r="B166" s="324" t="s">
        <v>1874</v>
      </c>
    </row>
    <row r="167" spans="1:5" ht="15.75" thickBot="1" x14ac:dyDescent="0.3">
      <c r="A167" s="324" t="s">
        <v>1299</v>
      </c>
      <c r="B167" s="324" t="s">
        <v>1875</v>
      </c>
    </row>
    <row r="168" spans="1:5" x14ac:dyDescent="0.25">
      <c r="A168" s="293"/>
    </row>
    <row r="169" spans="1:5" x14ac:dyDescent="0.25">
      <c r="A169" s="293" t="s">
        <v>1876</v>
      </c>
    </row>
    <row r="171" spans="1:5" x14ac:dyDescent="0.25">
      <c r="A171">
        <f>LOG(7)*4/3</f>
        <v>1.1267973866856758</v>
      </c>
    </row>
    <row r="172" spans="1:5" x14ac:dyDescent="0.25">
      <c r="A172">
        <f>LOG(7.99)*4/3</f>
        <v>1.2033957057519886</v>
      </c>
    </row>
  </sheetData>
  <mergeCells count="5">
    <mergeCell ref="A38:T38"/>
    <mergeCell ref="A58:T58"/>
    <mergeCell ref="A81:T81"/>
    <mergeCell ref="A23:T23"/>
    <mergeCell ref="A8:T8"/>
  </mergeCells>
  <pageMargins left="0.7" right="0.7" top="0.75" bottom="0.75" header="0.3" footer="0.3"/>
  <pageSetup paperSize="9" orientation="portrait" r:id="rId1"/>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G193"/>
  <sheetViews>
    <sheetView zoomScale="80" zoomScaleNormal="80" workbookViewId="0">
      <selection activeCell="H46" sqref="H46:I46"/>
    </sheetView>
  </sheetViews>
  <sheetFormatPr baseColWidth="10" defaultColWidth="11.42578125" defaultRowHeight="15" x14ac:dyDescent="0.25"/>
  <cols>
    <col min="1" max="1" width="5.140625" bestFit="1" customWidth="1"/>
    <col min="2" max="2" width="7.7109375" bestFit="1" customWidth="1"/>
    <col min="3" max="3" width="7.28515625" bestFit="1" customWidth="1"/>
    <col min="4" max="4" width="8.42578125" bestFit="1" customWidth="1"/>
    <col min="5" max="5" width="6.28515625" bestFit="1" customWidth="1"/>
    <col min="6" max="7" width="6.5703125" bestFit="1" customWidth="1"/>
  </cols>
  <sheetData>
    <row r="1" spans="1:7" s="2" customFormat="1" x14ac:dyDescent="0.25">
      <c r="A1" s="2" t="s">
        <v>1301</v>
      </c>
      <c r="B1" s="2" t="s">
        <v>1371</v>
      </c>
      <c r="C1" s="2" t="s">
        <v>52</v>
      </c>
      <c r="D1" s="2" t="s">
        <v>867</v>
      </c>
      <c r="E1" s="2" t="s">
        <v>1372</v>
      </c>
      <c r="F1" s="2" t="s">
        <v>52</v>
      </c>
      <c r="G1" s="2" t="s">
        <v>867</v>
      </c>
    </row>
    <row r="2" spans="1:7" x14ac:dyDescent="0.25">
      <c r="A2" s="180" t="s">
        <v>16</v>
      </c>
      <c r="B2">
        <v>38670</v>
      </c>
      <c r="C2" s="129">
        <v>0</v>
      </c>
      <c r="D2">
        <v>0</v>
      </c>
      <c r="E2">
        <v>555</v>
      </c>
      <c r="F2" s="129">
        <v>0</v>
      </c>
      <c r="G2">
        <v>0</v>
      </c>
    </row>
    <row r="3" spans="1:7" x14ac:dyDescent="0.25">
      <c r="A3" s="180" t="s">
        <v>715</v>
      </c>
      <c r="B3">
        <v>41075</v>
      </c>
      <c r="C3" s="129">
        <f>(B3-B2)/B2</f>
        <v>6.2192914403930696E-2</v>
      </c>
      <c r="D3" s="129">
        <f t="shared" ref="D3:D17" si="0">(B3-$B$2)/$B$2</f>
        <v>6.2192914403930696E-2</v>
      </c>
      <c r="E3">
        <v>569</v>
      </c>
      <c r="F3" s="129">
        <f>(E3-E2)/E2</f>
        <v>2.5225225225225224E-2</v>
      </c>
      <c r="G3" s="129">
        <f>(E3-$E$2)/$E$2</f>
        <v>2.5225225225225224E-2</v>
      </c>
    </row>
    <row r="4" spans="1:7" x14ac:dyDescent="0.25">
      <c r="A4" s="180" t="s">
        <v>702</v>
      </c>
      <c r="B4">
        <v>42555</v>
      </c>
      <c r="C4" s="129">
        <f t="shared" ref="C4:C49" si="1">(B4-B3)/B3</f>
        <v>3.6031649421789408E-2</v>
      </c>
      <c r="D4" s="129">
        <f t="shared" si="0"/>
        <v>0.1004654771140419</v>
      </c>
      <c r="E4">
        <v>583</v>
      </c>
      <c r="F4" s="129">
        <f t="shared" ref="F4:F49" si="2">(E4-E3)/E3</f>
        <v>2.4604569420035149E-2</v>
      </c>
      <c r="G4" s="129">
        <f t="shared" ref="G4:G17" si="3">(E4-$E$2)/$E$2</f>
        <v>5.0450450450450449E-2</v>
      </c>
    </row>
    <row r="5" spans="1:7" x14ac:dyDescent="0.25">
      <c r="A5" s="180" t="s">
        <v>703</v>
      </c>
      <c r="B5">
        <v>43480</v>
      </c>
      <c r="C5" s="129">
        <f t="shared" si="1"/>
        <v>2.1736576195511691E-2</v>
      </c>
      <c r="D5" s="129">
        <f t="shared" si="0"/>
        <v>0.12438582880786139</v>
      </c>
      <c r="E5">
        <v>593</v>
      </c>
      <c r="F5" s="129">
        <f t="shared" si="2"/>
        <v>1.7152658662092625E-2</v>
      </c>
      <c r="G5" s="129">
        <f t="shared" si="3"/>
        <v>6.8468468468468463E-2</v>
      </c>
    </row>
    <row r="6" spans="1:7" x14ac:dyDescent="0.25">
      <c r="A6" s="180" t="s">
        <v>704</v>
      </c>
      <c r="B6">
        <v>44220</v>
      </c>
      <c r="C6" s="129">
        <f t="shared" si="1"/>
        <v>1.7019319227230909E-2</v>
      </c>
      <c r="D6" s="129">
        <f t="shared" si="0"/>
        <v>0.14352211016291699</v>
      </c>
      <c r="E6">
        <v>607</v>
      </c>
      <c r="F6" s="129">
        <f t="shared" si="2"/>
        <v>2.3608768971332208E-2</v>
      </c>
      <c r="G6" s="129">
        <f t="shared" si="3"/>
        <v>9.3693693693693694E-2</v>
      </c>
    </row>
    <row r="7" spans="1:7" x14ac:dyDescent="0.25">
      <c r="A7" s="180" t="s">
        <v>705</v>
      </c>
      <c r="B7">
        <v>44960</v>
      </c>
      <c r="C7" s="129">
        <f t="shared" si="1"/>
        <v>1.6734509271822705E-2</v>
      </c>
      <c r="D7" s="129">
        <f t="shared" si="0"/>
        <v>0.16265839151797259</v>
      </c>
      <c r="E7">
        <v>625</v>
      </c>
      <c r="F7" s="129">
        <f t="shared" si="2"/>
        <v>2.9654036243822075E-2</v>
      </c>
      <c r="G7" s="129">
        <f t="shared" si="3"/>
        <v>0.12612612612612611</v>
      </c>
    </row>
    <row r="8" spans="1:7" x14ac:dyDescent="0.25">
      <c r="A8" s="180" t="s">
        <v>21</v>
      </c>
      <c r="B8">
        <v>45515</v>
      </c>
      <c r="C8" s="129">
        <f t="shared" si="1"/>
        <v>1.2344306049822064E-2</v>
      </c>
      <c r="D8" s="129">
        <f t="shared" si="0"/>
        <v>0.17701060253426429</v>
      </c>
      <c r="E8">
        <v>643</v>
      </c>
      <c r="F8" s="129">
        <f t="shared" si="2"/>
        <v>2.8799999999999999E-2</v>
      </c>
      <c r="G8" s="129">
        <f t="shared" si="3"/>
        <v>0.15855855855855855</v>
      </c>
    </row>
    <row r="9" spans="1:7" x14ac:dyDescent="0.25">
      <c r="A9" s="180" t="s">
        <v>22</v>
      </c>
      <c r="B9">
        <v>46070</v>
      </c>
      <c r="C9" s="129">
        <f t="shared" si="1"/>
        <v>1.2193782269581456E-2</v>
      </c>
      <c r="D9" s="129">
        <f t="shared" si="0"/>
        <v>0.19136281355055598</v>
      </c>
      <c r="E9">
        <v>661</v>
      </c>
      <c r="F9" s="129">
        <f t="shared" si="2"/>
        <v>2.7993779160186624E-2</v>
      </c>
      <c r="G9" s="129">
        <f t="shared" si="3"/>
        <v>0.19099099099099098</v>
      </c>
    </row>
    <row r="10" spans="1:7" x14ac:dyDescent="0.25">
      <c r="A10" s="180" t="s">
        <v>23</v>
      </c>
      <c r="B10">
        <v>46440</v>
      </c>
      <c r="C10" s="129">
        <f t="shared" si="1"/>
        <v>8.0312567831560665E-3</v>
      </c>
      <c r="D10" s="129">
        <f t="shared" si="0"/>
        <v>0.2009309542280838</v>
      </c>
      <c r="E10">
        <v>675</v>
      </c>
      <c r="F10" s="129">
        <f t="shared" si="2"/>
        <v>2.118003025718608E-2</v>
      </c>
      <c r="G10" s="129">
        <f t="shared" si="3"/>
        <v>0.21621621621621623</v>
      </c>
    </row>
    <row r="11" spans="1:7" x14ac:dyDescent="0.25">
      <c r="A11" s="180" t="s">
        <v>17</v>
      </c>
      <c r="B11">
        <v>46995</v>
      </c>
      <c r="C11" s="129">
        <f t="shared" si="1"/>
        <v>1.1950904392764857E-2</v>
      </c>
      <c r="D11" s="129">
        <f t="shared" si="0"/>
        <v>0.21528316524437549</v>
      </c>
      <c r="E11">
        <v>693</v>
      </c>
      <c r="F11" s="129">
        <f t="shared" si="2"/>
        <v>2.6666666666666668E-2</v>
      </c>
      <c r="G11" s="129">
        <f t="shared" si="3"/>
        <v>0.24864864864864866</v>
      </c>
    </row>
    <row r="12" spans="1:7" x14ac:dyDescent="0.25">
      <c r="A12" s="180" t="s">
        <v>18</v>
      </c>
      <c r="B12">
        <v>47365</v>
      </c>
      <c r="C12" s="129">
        <f t="shared" si="1"/>
        <v>7.8731779976593252E-3</v>
      </c>
      <c r="D12" s="129">
        <f t="shared" si="0"/>
        <v>0.22485130592190328</v>
      </c>
      <c r="E12">
        <v>709</v>
      </c>
      <c r="F12" s="129">
        <f t="shared" si="2"/>
        <v>2.3088023088023088E-2</v>
      </c>
      <c r="G12" s="129">
        <f t="shared" si="3"/>
        <v>0.27747747747747747</v>
      </c>
    </row>
    <row r="13" spans="1:7" x14ac:dyDescent="0.25">
      <c r="A13" s="180" t="s">
        <v>24</v>
      </c>
      <c r="B13">
        <v>47920</v>
      </c>
      <c r="C13" s="129">
        <f t="shared" si="1"/>
        <v>1.1717512931489496E-2</v>
      </c>
      <c r="D13" s="129">
        <f t="shared" si="0"/>
        <v>0.23920351693819497</v>
      </c>
      <c r="E13">
        <v>725</v>
      </c>
      <c r="F13" s="129">
        <f t="shared" si="2"/>
        <v>2.2566995768688293E-2</v>
      </c>
      <c r="G13" s="129">
        <f t="shared" si="3"/>
        <v>0.30630630630630629</v>
      </c>
    </row>
    <row r="14" spans="1:7" x14ac:dyDescent="0.25">
      <c r="A14" s="180" t="s">
        <v>25</v>
      </c>
      <c r="B14">
        <v>48290</v>
      </c>
      <c r="C14" s="129">
        <f t="shared" si="1"/>
        <v>7.7212020033388985E-3</v>
      </c>
      <c r="D14" s="129">
        <f t="shared" si="0"/>
        <v>0.24877165761572279</v>
      </c>
      <c r="E14">
        <v>741</v>
      </c>
      <c r="F14" s="129">
        <f t="shared" si="2"/>
        <v>2.2068965517241378E-2</v>
      </c>
      <c r="G14" s="129">
        <f t="shared" si="3"/>
        <v>0.33513513513513515</v>
      </c>
    </row>
    <row r="15" spans="1:7" x14ac:dyDescent="0.25">
      <c r="A15" s="180" t="s">
        <v>26</v>
      </c>
      <c r="B15">
        <v>48845</v>
      </c>
      <c r="C15" s="129">
        <f t="shared" si="1"/>
        <v>1.1493062745910127E-2</v>
      </c>
      <c r="D15" s="129">
        <f t="shared" si="0"/>
        <v>0.26312386863201448</v>
      </c>
      <c r="E15">
        <v>757</v>
      </c>
      <c r="F15" s="129">
        <f t="shared" si="2"/>
        <v>2.1592442645074223E-2</v>
      </c>
      <c r="G15" s="129">
        <f t="shared" si="3"/>
        <v>0.36396396396396397</v>
      </c>
    </row>
    <row r="16" spans="1:7" x14ac:dyDescent="0.25">
      <c r="A16" s="180" t="s">
        <v>27</v>
      </c>
      <c r="B16">
        <v>49215</v>
      </c>
      <c r="C16" s="129">
        <f t="shared" si="1"/>
        <v>7.5749820861910127E-3</v>
      </c>
      <c r="D16" s="129">
        <f t="shared" si="0"/>
        <v>0.27269200930954229</v>
      </c>
      <c r="E16">
        <v>773</v>
      </c>
      <c r="F16" s="129">
        <f t="shared" si="2"/>
        <v>2.1136063408190225E-2</v>
      </c>
      <c r="G16" s="129">
        <f t="shared" si="3"/>
        <v>0.39279279279279278</v>
      </c>
    </row>
    <row r="17" spans="1:7" x14ac:dyDescent="0.25">
      <c r="A17" s="180" t="s">
        <v>28</v>
      </c>
      <c r="B17">
        <v>49515</v>
      </c>
      <c r="C17" s="129">
        <f t="shared" si="1"/>
        <v>6.0957025297165499E-3</v>
      </c>
      <c r="D17" s="129">
        <f t="shared" si="0"/>
        <v>0.28044996121024052</v>
      </c>
      <c r="E17">
        <v>789</v>
      </c>
      <c r="F17" s="129">
        <f t="shared" si="2"/>
        <v>2.0698576972833119E-2</v>
      </c>
      <c r="G17" s="129">
        <f t="shared" si="3"/>
        <v>0.42162162162162165</v>
      </c>
    </row>
    <row r="18" spans="1:7" x14ac:dyDescent="0.25">
      <c r="A18" s="180" t="s">
        <v>1225</v>
      </c>
      <c r="B18">
        <v>46995</v>
      </c>
      <c r="C18" s="129">
        <f t="shared" si="1"/>
        <v>-5.0893668585277191E-2</v>
      </c>
      <c r="D18" s="129">
        <f>(B18-$B$18)/$B$18</f>
        <v>0</v>
      </c>
      <c r="E18">
        <v>886</v>
      </c>
      <c r="F18" s="129">
        <f t="shared" si="2"/>
        <v>0.12294043092522181</v>
      </c>
      <c r="G18" s="129">
        <f>(E18-$E$18)/$E$18</f>
        <v>0</v>
      </c>
    </row>
    <row r="19" spans="1:7" x14ac:dyDescent="0.25">
      <c r="A19" s="180" t="s">
        <v>1226</v>
      </c>
      <c r="B19">
        <v>51065</v>
      </c>
      <c r="C19" s="129">
        <f t="shared" si="1"/>
        <v>8.6604957974252578E-2</v>
      </c>
      <c r="D19" s="129">
        <f t="shared" ref="D19:D33" si="4">(B19-$B$18)/$B$18</f>
        <v>8.6604957974252578E-2</v>
      </c>
      <c r="E19">
        <v>901</v>
      </c>
      <c r="F19" s="129">
        <f t="shared" si="2"/>
        <v>1.6930022573363433E-2</v>
      </c>
      <c r="G19" s="129">
        <f t="shared" ref="G19:G33" si="5">(E19-$E$18)/$E$18</f>
        <v>1.6930022573363433E-2</v>
      </c>
    </row>
    <row r="20" spans="1:7" x14ac:dyDescent="0.25">
      <c r="A20" s="180" t="s">
        <v>1227</v>
      </c>
      <c r="B20">
        <v>53840</v>
      </c>
      <c r="C20" s="129">
        <f t="shared" si="1"/>
        <v>5.4342504650935083E-2</v>
      </c>
      <c r="D20" s="129">
        <f t="shared" si="4"/>
        <v>0.14565379295669753</v>
      </c>
      <c r="E20">
        <v>919</v>
      </c>
      <c r="F20" s="129">
        <f t="shared" si="2"/>
        <v>1.9977802441731411E-2</v>
      </c>
      <c r="G20" s="129">
        <f t="shared" si="5"/>
        <v>3.724604966139955E-2</v>
      </c>
    </row>
    <row r="21" spans="1:7" x14ac:dyDescent="0.25">
      <c r="A21" s="180" t="s">
        <v>1228</v>
      </c>
      <c r="B21">
        <v>55320</v>
      </c>
      <c r="C21" s="129">
        <f t="shared" si="1"/>
        <v>2.7488855869242199E-2</v>
      </c>
      <c r="D21" s="129">
        <f t="shared" si="4"/>
        <v>0.17714650494733483</v>
      </c>
      <c r="E21">
        <v>933</v>
      </c>
      <c r="F21" s="129">
        <f t="shared" si="2"/>
        <v>1.5233949945593036E-2</v>
      </c>
      <c r="G21" s="129">
        <f t="shared" si="5"/>
        <v>5.3047404063205419E-2</v>
      </c>
    </row>
    <row r="22" spans="1:7" x14ac:dyDescent="0.25">
      <c r="A22" s="180" t="s">
        <v>1229</v>
      </c>
      <c r="B22">
        <v>56615</v>
      </c>
      <c r="C22" s="129">
        <f t="shared" si="1"/>
        <v>2.3409255242227044E-2</v>
      </c>
      <c r="D22" s="129">
        <f t="shared" si="4"/>
        <v>0.20470262793914246</v>
      </c>
      <c r="E22">
        <v>951</v>
      </c>
      <c r="F22" s="129">
        <f t="shared" si="2"/>
        <v>1.9292604501607719E-2</v>
      </c>
      <c r="G22" s="129">
        <f t="shared" si="5"/>
        <v>7.336343115124154E-2</v>
      </c>
    </row>
    <row r="23" spans="1:7" x14ac:dyDescent="0.25">
      <c r="A23" s="180" t="s">
        <v>1230</v>
      </c>
      <c r="B23">
        <v>57540</v>
      </c>
      <c r="C23" s="129">
        <f t="shared" si="1"/>
        <v>1.6338426212134594E-2</v>
      </c>
      <c r="D23" s="129">
        <f t="shared" si="4"/>
        <v>0.22438557293329078</v>
      </c>
      <c r="E23">
        <v>969</v>
      </c>
      <c r="F23" s="129">
        <f t="shared" si="2"/>
        <v>1.8927444794952682E-2</v>
      </c>
      <c r="G23" s="129">
        <f t="shared" si="5"/>
        <v>9.3679458239277646E-2</v>
      </c>
    </row>
    <row r="24" spans="1:7" x14ac:dyDescent="0.25">
      <c r="A24" s="180" t="s">
        <v>1231</v>
      </c>
      <c r="B24">
        <v>58095</v>
      </c>
      <c r="C24" s="129">
        <f t="shared" si="1"/>
        <v>9.6454640250260692E-3</v>
      </c>
      <c r="D24" s="129">
        <f t="shared" si="4"/>
        <v>0.23619533992977976</v>
      </c>
      <c r="E24">
        <v>983</v>
      </c>
      <c r="F24" s="129">
        <f t="shared" si="2"/>
        <v>1.4447884416924664E-2</v>
      </c>
      <c r="G24" s="129">
        <f t="shared" si="5"/>
        <v>0.10948081264108352</v>
      </c>
    </row>
    <row r="25" spans="1:7" x14ac:dyDescent="0.25">
      <c r="A25" s="180" t="s">
        <v>1232</v>
      </c>
      <c r="B25">
        <v>58650</v>
      </c>
      <c r="C25" s="129">
        <f t="shared" si="1"/>
        <v>9.5533178414665635E-3</v>
      </c>
      <c r="D25" s="129">
        <f t="shared" si="4"/>
        <v>0.24800510692626876</v>
      </c>
      <c r="E25">
        <v>999</v>
      </c>
      <c r="F25" s="129">
        <f t="shared" si="2"/>
        <v>1.6276703967446592E-2</v>
      </c>
      <c r="G25" s="129">
        <f t="shared" si="5"/>
        <v>0.1275395033860045</v>
      </c>
    </row>
    <row r="26" spans="1:7" x14ac:dyDescent="0.25">
      <c r="A26" s="180" t="s">
        <v>1233</v>
      </c>
      <c r="B26">
        <v>59150</v>
      </c>
      <c r="C26" s="129">
        <f t="shared" si="1"/>
        <v>8.5251491901108273E-3</v>
      </c>
      <c r="D26" s="129">
        <f t="shared" si="4"/>
        <v>0.25864453665283543</v>
      </c>
      <c r="E26">
        <v>1015</v>
      </c>
      <c r="F26" s="129">
        <f t="shared" si="2"/>
        <v>1.6016016016016016E-2</v>
      </c>
      <c r="G26" s="129">
        <f t="shared" si="5"/>
        <v>0.14559819413092551</v>
      </c>
    </row>
    <row r="27" spans="1:7" x14ac:dyDescent="0.25">
      <c r="A27" s="180" t="s">
        <v>1234</v>
      </c>
      <c r="B27">
        <v>59760</v>
      </c>
      <c r="C27" s="129">
        <f t="shared" si="1"/>
        <v>1.0312764158918006E-2</v>
      </c>
      <c r="D27" s="129">
        <f t="shared" si="4"/>
        <v>0.27162464091924671</v>
      </c>
      <c r="E27">
        <v>1031</v>
      </c>
      <c r="F27" s="129">
        <f t="shared" si="2"/>
        <v>1.5763546798029555E-2</v>
      </c>
      <c r="G27" s="129">
        <f t="shared" si="5"/>
        <v>0.16365688487584651</v>
      </c>
    </row>
    <row r="28" spans="1:7" x14ac:dyDescent="0.25">
      <c r="A28" s="180" t="s">
        <v>1235</v>
      </c>
      <c r="B28">
        <v>60130</v>
      </c>
      <c r="C28" s="129">
        <f t="shared" si="1"/>
        <v>6.1914323962516732E-3</v>
      </c>
      <c r="D28" s="129">
        <f t="shared" si="4"/>
        <v>0.27949781891690606</v>
      </c>
      <c r="E28">
        <v>1043</v>
      </c>
      <c r="F28" s="129">
        <f t="shared" si="2"/>
        <v>1.1639185257032008E-2</v>
      </c>
      <c r="G28" s="129">
        <f t="shared" si="5"/>
        <v>0.17720090293453725</v>
      </c>
    </row>
    <row r="29" spans="1:7" x14ac:dyDescent="0.25">
      <c r="A29" s="180" t="s">
        <v>1236</v>
      </c>
      <c r="B29">
        <v>60685</v>
      </c>
      <c r="C29" s="129">
        <f t="shared" si="1"/>
        <v>9.2300016630633627E-3</v>
      </c>
      <c r="D29" s="129">
        <f t="shared" si="4"/>
        <v>0.29130758591339506</v>
      </c>
      <c r="E29">
        <v>1059</v>
      </c>
      <c r="F29" s="129">
        <f t="shared" si="2"/>
        <v>1.5340364333652923E-2</v>
      </c>
      <c r="G29" s="129">
        <f t="shared" si="5"/>
        <v>0.19525959367945825</v>
      </c>
    </row>
    <row r="30" spans="1:7" x14ac:dyDescent="0.25">
      <c r="A30" s="180" t="s">
        <v>1237</v>
      </c>
      <c r="B30">
        <v>61055</v>
      </c>
      <c r="C30" s="129">
        <f t="shared" si="1"/>
        <v>6.0970585811979897E-3</v>
      </c>
      <c r="D30" s="129">
        <f t="shared" si="4"/>
        <v>0.29918076391105436</v>
      </c>
      <c r="E30">
        <v>1075</v>
      </c>
      <c r="F30" s="129">
        <f t="shared" si="2"/>
        <v>1.5108593012275733E-2</v>
      </c>
      <c r="G30" s="129">
        <f t="shared" si="5"/>
        <v>0.21331828442437922</v>
      </c>
    </row>
    <row r="31" spans="1:7" x14ac:dyDescent="0.25">
      <c r="A31" s="180" t="s">
        <v>1270</v>
      </c>
      <c r="B31">
        <v>61610</v>
      </c>
      <c r="C31" s="129">
        <f t="shared" si="1"/>
        <v>9.0901646056834005E-3</v>
      </c>
      <c r="D31" s="129">
        <f t="shared" si="4"/>
        <v>0.31099053090754336</v>
      </c>
      <c r="E31">
        <v>1089</v>
      </c>
      <c r="F31" s="129">
        <f t="shared" si="2"/>
        <v>1.3023255813953489E-2</v>
      </c>
      <c r="G31" s="129">
        <f t="shared" si="5"/>
        <v>0.22911963882618511</v>
      </c>
    </row>
    <row r="32" spans="1:7" x14ac:dyDescent="0.25">
      <c r="A32" s="180" t="s">
        <v>1271</v>
      </c>
      <c r="B32">
        <v>61980</v>
      </c>
      <c r="C32" s="129">
        <f t="shared" si="1"/>
        <v>6.00551858464535E-3</v>
      </c>
      <c r="D32" s="129">
        <f t="shared" si="4"/>
        <v>0.31886370890520266</v>
      </c>
      <c r="E32">
        <v>1103</v>
      </c>
      <c r="F32" s="129">
        <f t="shared" si="2"/>
        <v>1.2855831037649219E-2</v>
      </c>
      <c r="G32" s="129">
        <f t="shared" si="5"/>
        <v>0.24492099322799096</v>
      </c>
    </row>
    <row r="33" spans="1:7" x14ac:dyDescent="0.25">
      <c r="A33" s="180" t="s">
        <v>1272</v>
      </c>
      <c r="B33">
        <v>62535</v>
      </c>
      <c r="C33" s="129">
        <f t="shared" si="1"/>
        <v>8.954501452081317E-3</v>
      </c>
      <c r="D33" s="129">
        <f t="shared" si="4"/>
        <v>0.33067347590169166</v>
      </c>
      <c r="E33">
        <v>1117</v>
      </c>
      <c r="F33" s="129">
        <f t="shared" si="2"/>
        <v>1.2692656391659111E-2</v>
      </c>
      <c r="G33" s="129">
        <f t="shared" si="5"/>
        <v>0.26072234762979685</v>
      </c>
    </row>
    <row r="34" spans="1:7" x14ac:dyDescent="0.25">
      <c r="A34" s="180" t="s">
        <v>1273</v>
      </c>
      <c r="B34">
        <v>52730</v>
      </c>
      <c r="C34" s="129">
        <f t="shared" si="1"/>
        <v>-0.15679219637003278</v>
      </c>
      <c r="D34" s="129">
        <f>(B34-$B$34)/$B$34</f>
        <v>0</v>
      </c>
      <c r="E34">
        <v>1131</v>
      </c>
      <c r="F34" s="129">
        <f t="shared" si="2"/>
        <v>1.2533572068039392E-2</v>
      </c>
      <c r="G34" s="129">
        <f>(E34-$E$34)/$E$34</f>
        <v>0</v>
      </c>
    </row>
    <row r="35" spans="1:7" x14ac:dyDescent="0.25">
      <c r="A35" s="180" t="s">
        <v>1274</v>
      </c>
      <c r="B35">
        <v>58280</v>
      </c>
      <c r="C35" s="129">
        <f t="shared" si="1"/>
        <v>0.10525317655983311</v>
      </c>
      <c r="D35" s="129">
        <f t="shared" ref="D35:D49" si="6">(B35-$B$34)/$B$34</f>
        <v>0.10525317655983311</v>
      </c>
      <c r="E35">
        <v>1142</v>
      </c>
      <c r="F35" s="129">
        <f t="shared" si="2"/>
        <v>9.7259062776304164E-3</v>
      </c>
      <c r="G35" s="129">
        <f t="shared" ref="G35:G49" si="7">(E35-$E$34)/$E$34</f>
        <v>9.7259062776304164E-3</v>
      </c>
    </row>
    <row r="36" spans="1:7" x14ac:dyDescent="0.25">
      <c r="A36" s="180" t="s">
        <v>1275</v>
      </c>
      <c r="B36">
        <v>61610</v>
      </c>
      <c r="C36" s="129">
        <f t="shared" si="1"/>
        <v>5.7137954701441319E-2</v>
      </c>
      <c r="D36" s="129">
        <f t="shared" si="6"/>
        <v>0.16840508249573297</v>
      </c>
      <c r="E36">
        <v>1156</v>
      </c>
      <c r="F36" s="129">
        <f t="shared" si="2"/>
        <v>1.2259194395796848E-2</v>
      </c>
      <c r="G36" s="129">
        <f t="shared" si="7"/>
        <v>2.2104332449160036E-2</v>
      </c>
    </row>
    <row r="37" spans="1:7" x14ac:dyDescent="0.25">
      <c r="A37" s="180" t="s">
        <v>1276</v>
      </c>
      <c r="B37">
        <v>63645</v>
      </c>
      <c r="C37" s="129">
        <f t="shared" si="1"/>
        <v>3.3030352215549424E-2</v>
      </c>
      <c r="D37" s="129">
        <f t="shared" si="6"/>
        <v>0.20699791390100511</v>
      </c>
      <c r="E37">
        <v>1169</v>
      </c>
      <c r="F37" s="129">
        <f t="shared" si="2"/>
        <v>1.124567474048443E-2</v>
      </c>
      <c r="G37" s="129">
        <f t="shared" si="7"/>
        <v>3.3598585322723251E-2</v>
      </c>
    </row>
    <row r="38" spans="1:7" x14ac:dyDescent="0.25">
      <c r="A38" s="180" t="s">
        <v>1277</v>
      </c>
      <c r="B38">
        <v>64755</v>
      </c>
      <c r="C38" s="129">
        <f t="shared" si="1"/>
        <v>1.7440490219184538E-2</v>
      </c>
      <c r="D38" s="129">
        <f t="shared" si="6"/>
        <v>0.22804854921297174</v>
      </c>
      <c r="E38">
        <v>1179</v>
      </c>
      <c r="F38" s="129">
        <f t="shared" si="2"/>
        <v>8.5543199315654406E-3</v>
      </c>
      <c r="G38" s="129">
        <f t="shared" si="7"/>
        <v>4.2440318302387266E-2</v>
      </c>
    </row>
    <row r="39" spans="1:7" x14ac:dyDescent="0.25">
      <c r="A39" s="180" t="s">
        <v>1278</v>
      </c>
      <c r="B39">
        <v>65680</v>
      </c>
      <c r="C39" s="129">
        <f t="shared" si="1"/>
        <v>1.4284611226932283E-2</v>
      </c>
      <c r="D39" s="129">
        <f t="shared" si="6"/>
        <v>0.24559074530627725</v>
      </c>
      <c r="E39">
        <v>1193</v>
      </c>
      <c r="F39" s="129">
        <f t="shared" si="2"/>
        <v>1.1874469889737066E-2</v>
      </c>
      <c r="G39" s="129">
        <f t="shared" si="7"/>
        <v>5.4818744473916887E-2</v>
      </c>
    </row>
    <row r="40" spans="1:7" x14ac:dyDescent="0.25">
      <c r="A40" s="180" t="s">
        <v>1279</v>
      </c>
      <c r="B40">
        <v>66420</v>
      </c>
      <c r="C40" s="129">
        <f t="shared" si="1"/>
        <v>1.1266747868453105E-2</v>
      </c>
      <c r="D40" s="129">
        <f t="shared" si="6"/>
        <v>0.2596245021809217</v>
      </c>
      <c r="E40">
        <v>1206</v>
      </c>
      <c r="F40" s="129">
        <f t="shared" si="2"/>
        <v>1.0896898575020955E-2</v>
      </c>
      <c r="G40" s="129">
        <f t="shared" si="7"/>
        <v>6.6312997347480113E-2</v>
      </c>
    </row>
    <row r="41" spans="1:7" x14ac:dyDescent="0.25">
      <c r="A41" s="180" t="s">
        <v>1280</v>
      </c>
      <c r="B41">
        <v>66790</v>
      </c>
      <c r="C41" s="129">
        <f t="shared" si="1"/>
        <v>5.570611261668172E-3</v>
      </c>
      <c r="D41" s="129">
        <f t="shared" si="6"/>
        <v>0.26664138061824388</v>
      </c>
      <c r="E41">
        <v>1218</v>
      </c>
      <c r="F41" s="129">
        <f t="shared" si="2"/>
        <v>9.9502487562189053E-3</v>
      </c>
      <c r="G41" s="129">
        <f t="shared" si="7"/>
        <v>7.6923076923076927E-2</v>
      </c>
    </row>
    <row r="42" spans="1:7" x14ac:dyDescent="0.25">
      <c r="A42" s="180" t="s">
        <v>1281</v>
      </c>
      <c r="B42">
        <v>67160</v>
      </c>
      <c r="C42" s="129">
        <f t="shared" si="1"/>
        <v>5.5397514597993712E-3</v>
      </c>
      <c r="D42" s="129">
        <f t="shared" si="6"/>
        <v>0.27365825905556607</v>
      </c>
      <c r="E42">
        <v>1224</v>
      </c>
      <c r="F42" s="129">
        <f t="shared" si="2"/>
        <v>4.9261083743842365E-3</v>
      </c>
      <c r="G42" s="129">
        <f t="shared" si="7"/>
        <v>8.2228116710875335E-2</v>
      </c>
    </row>
    <row r="43" spans="1:7" x14ac:dyDescent="0.25">
      <c r="A43" s="180" t="s">
        <v>1282</v>
      </c>
      <c r="B43">
        <v>67530</v>
      </c>
      <c r="C43" s="129">
        <f t="shared" si="1"/>
        <v>5.5092316855270993E-3</v>
      </c>
      <c r="D43" s="129">
        <f t="shared" si="6"/>
        <v>0.2806751374928883</v>
      </c>
      <c r="E43">
        <v>1236</v>
      </c>
      <c r="F43" s="129">
        <f t="shared" si="2"/>
        <v>9.8039215686274508E-3</v>
      </c>
      <c r="G43" s="129">
        <f t="shared" si="7"/>
        <v>9.2838196286472149E-2</v>
      </c>
    </row>
    <row r="44" spans="1:7" x14ac:dyDescent="0.25">
      <c r="A44" s="180" t="s">
        <v>1283</v>
      </c>
      <c r="B44">
        <v>67900</v>
      </c>
      <c r="C44" s="129">
        <f t="shared" si="1"/>
        <v>5.4790463497704726E-3</v>
      </c>
      <c r="D44" s="129">
        <f t="shared" si="6"/>
        <v>0.28769201593021049</v>
      </c>
      <c r="E44">
        <v>1248</v>
      </c>
      <c r="F44" s="129">
        <f t="shared" si="2"/>
        <v>9.7087378640776691E-3</v>
      </c>
      <c r="G44" s="129">
        <f t="shared" si="7"/>
        <v>0.10344827586206896</v>
      </c>
    </row>
    <row r="45" spans="1:7" x14ac:dyDescent="0.25">
      <c r="A45" s="180" t="s">
        <v>1284</v>
      </c>
      <c r="B45">
        <v>68270</v>
      </c>
      <c r="C45" s="129">
        <f t="shared" si="1"/>
        <v>5.4491899852724592E-3</v>
      </c>
      <c r="D45" s="129">
        <f t="shared" si="6"/>
        <v>0.29470889436753273</v>
      </c>
      <c r="E45">
        <v>1258</v>
      </c>
      <c r="F45" s="129">
        <f t="shared" si="2"/>
        <v>8.0128205128205121E-3</v>
      </c>
      <c r="G45" s="129">
        <f t="shared" si="7"/>
        <v>0.11229000884173299</v>
      </c>
    </row>
    <row r="46" spans="1:7" x14ac:dyDescent="0.25">
      <c r="A46" s="180" t="s">
        <v>1285</v>
      </c>
      <c r="B46">
        <v>68650</v>
      </c>
      <c r="C46" s="129">
        <f t="shared" si="1"/>
        <v>5.5661344660905233E-3</v>
      </c>
      <c r="D46" s="129">
        <f t="shared" si="6"/>
        <v>0.30191541816802581</v>
      </c>
      <c r="E46">
        <v>1268</v>
      </c>
      <c r="F46" s="129">
        <f t="shared" si="2"/>
        <v>7.9491255961844191E-3</v>
      </c>
      <c r="G46" s="129">
        <f t="shared" si="7"/>
        <v>0.12113174182139699</v>
      </c>
    </row>
    <row r="47" spans="1:7" x14ac:dyDescent="0.25">
      <c r="A47" s="180" t="s">
        <v>1286</v>
      </c>
      <c r="B47">
        <v>69010</v>
      </c>
      <c r="C47" s="129">
        <f t="shared" si="1"/>
        <v>5.2439912600145662E-3</v>
      </c>
      <c r="D47" s="129">
        <f t="shared" si="6"/>
        <v>0.30874265124217715</v>
      </c>
      <c r="E47">
        <v>1280</v>
      </c>
      <c r="F47" s="129">
        <f t="shared" si="2"/>
        <v>9.4637223974763408E-3</v>
      </c>
      <c r="G47" s="129">
        <f t="shared" si="7"/>
        <v>0.13174182139699381</v>
      </c>
    </row>
    <row r="48" spans="1:7" x14ac:dyDescent="0.25">
      <c r="A48" s="180" t="s">
        <v>1287</v>
      </c>
      <c r="B48">
        <v>69380</v>
      </c>
      <c r="C48" s="129">
        <f t="shared" si="1"/>
        <v>5.3615418055354301E-3</v>
      </c>
      <c r="D48" s="129">
        <f t="shared" si="6"/>
        <v>0.31575952967949933</v>
      </c>
      <c r="E48">
        <v>1292</v>
      </c>
      <c r="F48" s="129">
        <f t="shared" si="2"/>
        <v>9.3749999999999997E-3</v>
      </c>
      <c r="G48" s="129">
        <f t="shared" si="7"/>
        <v>0.14235190097259062</v>
      </c>
    </row>
    <row r="49" spans="1:7" x14ac:dyDescent="0.25">
      <c r="A49" s="180" t="s">
        <v>1288</v>
      </c>
      <c r="B49">
        <v>68455</v>
      </c>
      <c r="C49" s="129">
        <f t="shared" si="1"/>
        <v>-1.3332372441625828E-2</v>
      </c>
      <c r="D49" s="129">
        <f t="shared" si="6"/>
        <v>0.29821733358619384</v>
      </c>
      <c r="E49">
        <v>1265</v>
      </c>
      <c r="F49" s="129">
        <f t="shared" si="2"/>
        <v>-2.089783281733746E-2</v>
      </c>
      <c r="G49" s="129">
        <f t="shared" si="7"/>
        <v>0.1184792219274978</v>
      </c>
    </row>
    <row r="50" spans="1:7" x14ac:dyDescent="0.25">
      <c r="A50" s="180" t="s">
        <v>1365</v>
      </c>
      <c r="B50">
        <v>62165</v>
      </c>
      <c r="C50" s="129">
        <f t="shared" ref="C50:C55" si="8">(B50-B49)/B49</f>
        <v>-9.1885180045285231E-2</v>
      </c>
      <c r="D50" s="129">
        <f t="shared" ref="D50:D55" si="9">(B50-$B$50)/$B$50</f>
        <v>0</v>
      </c>
      <c r="E50">
        <v>1406</v>
      </c>
      <c r="F50" s="129">
        <f t="shared" ref="F50:F55" si="10">(E50-E49)/E49</f>
        <v>0.11146245059288537</v>
      </c>
      <c r="G50" s="129">
        <f t="shared" ref="G50:G55" si="11">(E50-$E$50)/$E$50</f>
        <v>0</v>
      </c>
    </row>
    <row r="51" spans="1:7" x14ac:dyDescent="0.25">
      <c r="A51" s="180" t="s">
        <v>1366</v>
      </c>
      <c r="B51">
        <v>69935</v>
      </c>
      <c r="C51" s="129">
        <f t="shared" si="8"/>
        <v>0.1249899461111558</v>
      </c>
      <c r="D51" s="129">
        <f t="shared" si="9"/>
        <v>0.1249899461111558</v>
      </c>
      <c r="E51">
        <v>1417</v>
      </c>
      <c r="F51" s="129">
        <f t="shared" si="10"/>
        <v>7.8236130867709811E-3</v>
      </c>
      <c r="G51" s="129">
        <f t="shared" si="11"/>
        <v>7.8236130867709811E-3</v>
      </c>
    </row>
    <row r="52" spans="1:7" x14ac:dyDescent="0.25">
      <c r="A52" s="180" t="s">
        <v>1367</v>
      </c>
      <c r="B52">
        <v>74930</v>
      </c>
      <c r="C52" s="129">
        <f t="shared" si="8"/>
        <v>7.1423464645742479E-2</v>
      </c>
      <c r="D52" s="129">
        <f t="shared" si="9"/>
        <v>0.20534062575404166</v>
      </c>
      <c r="E52">
        <v>1431</v>
      </c>
      <c r="F52" s="129">
        <f t="shared" si="10"/>
        <v>9.8800282286520824E-3</v>
      </c>
      <c r="G52" s="129">
        <f t="shared" si="11"/>
        <v>1.7780938833570414E-2</v>
      </c>
    </row>
    <row r="53" spans="1:7" x14ac:dyDescent="0.25">
      <c r="A53" s="180" t="s">
        <v>1368</v>
      </c>
      <c r="B53">
        <v>77705</v>
      </c>
      <c r="C53" s="129">
        <f t="shared" si="8"/>
        <v>3.7034565594554918E-2</v>
      </c>
      <c r="D53" s="129">
        <f t="shared" si="9"/>
        <v>0.24997989222231159</v>
      </c>
      <c r="E53">
        <v>1442</v>
      </c>
      <c r="F53" s="129">
        <f t="shared" si="10"/>
        <v>7.6869322152341019E-3</v>
      </c>
      <c r="G53" s="129">
        <f t="shared" si="11"/>
        <v>2.5604551920341393E-2</v>
      </c>
    </row>
    <row r="54" spans="1:7" x14ac:dyDescent="0.25">
      <c r="A54" s="180" t="s">
        <v>1369</v>
      </c>
      <c r="B54">
        <v>79370</v>
      </c>
      <c r="C54" s="129">
        <f t="shared" si="8"/>
        <v>2.142719258734959E-2</v>
      </c>
      <c r="D54" s="129">
        <f t="shared" si="9"/>
        <v>0.27676345210327352</v>
      </c>
      <c r="E54">
        <v>1456</v>
      </c>
      <c r="F54" s="129">
        <f t="shared" si="10"/>
        <v>9.7087378640776691E-3</v>
      </c>
      <c r="G54" s="129">
        <f t="shared" si="11"/>
        <v>3.5561877667140827E-2</v>
      </c>
    </row>
    <row r="55" spans="1:7" x14ac:dyDescent="0.25">
      <c r="A55" s="180" t="s">
        <v>1370</v>
      </c>
      <c r="B55">
        <v>80480</v>
      </c>
      <c r="C55" s="129">
        <f t="shared" si="8"/>
        <v>1.3985132921758851E-2</v>
      </c>
      <c r="D55" s="129">
        <f t="shared" si="9"/>
        <v>0.29461915869058153</v>
      </c>
      <c r="E55">
        <v>1470</v>
      </c>
      <c r="F55" s="129">
        <f t="shared" si="10"/>
        <v>9.6153846153846159E-3</v>
      </c>
      <c r="G55" s="129">
        <f t="shared" si="11"/>
        <v>4.5519203413940258E-2</v>
      </c>
    </row>
    <row r="56" spans="1:7" x14ac:dyDescent="0.25">
      <c r="A56" s="180" t="s">
        <v>1586</v>
      </c>
      <c r="B56">
        <v>81405</v>
      </c>
      <c r="C56" s="129">
        <f t="shared" ref="C56:C65" si="12">(B56-B55)/B55</f>
        <v>1.1493538767395626E-2</v>
      </c>
      <c r="D56" s="129">
        <f t="shared" ref="D56:D65" si="13">(B56-$B$50)/$B$50</f>
        <v>0.3094989141800048</v>
      </c>
      <c r="E56">
        <v>1484</v>
      </c>
      <c r="F56" s="129">
        <f t="shared" ref="F56:F65" si="14">(E56-E55)/E55</f>
        <v>9.5238095238095247E-3</v>
      </c>
      <c r="G56" s="129">
        <f t="shared" ref="G56:G65" si="15">(E56-$E$50)/$E$50</f>
        <v>5.5476529160739689E-2</v>
      </c>
    </row>
    <row r="57" spans="1:7" x14ac:dyDescent="0.25">
      <c r="A57" s="180" t="s">
        <v>1587</v>
      </c>
      <c r="B57">
        <v>81960</v>
      </c>
      <c r="C57" s="129">
        <f t="shared" si="12"/>
        <v>6.8177630366685095E-3</v>
      </c>
      <c r="D57" s="129">
        <f t="shared" si="13"/>
        <v>0.31842676747365883</v>
      </c>
      <c r="E57">
        <v>1496</v>
      </c>
      <c r="F57" s="129">
        <f t="shared" si="14"/>
        <v>8.0862533692722376E-3</v>
      </c>
      <c r="G57" s="129">
        <f t="shared" si="15"/>
        <v>6.4011379800853488E-2</v>
      </c>
    </row>
    <row r="58" spans="1:7" x14ac:dyDescent="0.25">
      <c r="A58" s="180" t="s">
        <v>1588</v>
      </c>
      <c r="B58">
        <v>82515</v>
      </c>
      <c r="C58" s="129">
        <f t="shared" si="12"/>
        <v>6.7715959004392388E-3</v>
      </c>
      <c r="D58" s="129">
        <f t="shared" si="13"/>
        <v>0.32735462076731281</v>
      </c>
      <c r="E58">
        <v>1508</v>
      </c>
      <c r="F58" s="129">
        <f t="shared" si="14"/>
        <v>8.0213903743315516E-3</v>
      </c>
      <c r="G58" s="129">
        <f t="shared" si="15"/>
        <v>7.254623044096728E-2</v>
      </c>
    </row>
    <row r="59" spans="1:7" x14ac:dyDescent="0.25">
      <c r="A59" s="180" t="s">
        <v>1589</v>
      </c>
      <c r="B59">
        <v>83070</v>
      </c>
      <c r="C59" s="129">
        <f t="shared" si="12"/>
        <v>6.7260498091256133E-3</v>
      </c>
      <c r="D59" s="129">
        <f t="shared" si="13"/>
        <v>0.33628247406096679</v>
      </c>
      <c r="E59">
        <v>1520</v>
      </c>
      <c r="F59" s="129">
        <f t="shared" si="14"/>
        <v>7.9575596816976128E-3</v>
      </c>
      <c r="G59" s="129">
        <f t="shared" si="15"/>
        <v>8.1081081081081086E-2</v>
      </c>
    </row>
    <row r="60" spans="1:7" x14ac:dyDescent="0.25">
      <c r="A60" s="180" t="s">
        <v>1590</v>
      </c>
      <c r="B60">
        <v>83440</v>
      </c>
      <c r="C60" s="129">
        <f t="shared" si="12"/>
        <v>4.454074876610088E-3</v>
      </c>
      <c r="D60" s="129">
        <f t="shared" si="13"/>
        <v>0.34223437625673608</v>
      </c>
      <c r="E60">
        <v>1532</v>
      </c>
      <c r="F60" s="129">
        <f t="shared" si="14"/>
        <v>7.8947368421052634E-3</v>
      </c>
      <c r="G60" s="129">
        <f t="shared" si="15"/>
        <v>8.9615931721194877E-2</v>
      </c>
    </row>
    <row r="61" spans="1:7" x14ac:dyDescent="0.25">
      <c r="A61" s="180" t="s">
        <v>1591</v>
      </c>
      <c r="B61">
        <v>83995</v>
      </c>
      <c r="C61" s="129">
        <f t="shared" si="12"/>
        <v>6.6514860977948224E-3</v>
      </c>
      <c r="D61" s="129">
        <f t="shared" si="13"/>
        <v>0.35116222955039011</v>
      </c>
      <c r="E61">
        <v>1544</v>
      </c>
      <c r="F61" s="129">
        <f t="shared" si="14"/>
        <v>7.832898172323759E-3</v>
      </c>
      <c r="G61" s="129">
        <f t="shared" si="15"/>
        <v>9.8150782361308683E-2</v>
      </c>
    </row>
    <row r="62" spans="1:7" x14ac:dyDescent="0.25">
      <c r="A62" s="180" t="s">
        <v>1592</v>
      </c>
      <c r="B62">
        <v>84365</v>
      </c>
      <c r="C62" s="129">
        <f t="shared" si="12"/>
        <v>4.4050241085778919E-3</v>
      </c>
      <c r="D62" s="129">
        <f t="shared" si="13"/>
        <v>0.35711413174615941</v>
      </c>
      <c r="E62">
        <v>1556</v>
      </c>
      <c r="F62" s="129">
        <f t="shared" si="14"/>
        <v>7.7720207253886009E-3</v>
      </c>
      <c r="G62" s="129">
        <f t="shared" si="15"/>
        <v>0.10668563300142248</v>
      </c>
    </row>
    <row r="63" spans="1:7" x14ac:dyDescent="0.25">
      <c r="A63" s="180" t="s">
        <v>1593</v>
      </c>
      <c r="B63">
        <v>84550</v>
      </c>
      <c r="C63" s="129">
        <f t="shared" si="12"/>
        <v>2.1928524862205893E-3</v>
      </c>
      <c r="D63" s="129">
        <f t="shared" si="13"/>
        <v>0.36009008284404409</v>
      </c>
      <c r="E63">
        <v>1562</v>
      </c>
      <c r="F63" s="129">
        <f t="shared" si="14"/>
        <v>3.8560411311053984E-3</v>
      </c>
      <c r="G63" s="129">
        <f t="shared" si="15"/>
        <v>0.11095305832147938</v>
      </c>
    </row>
    <row r="64" spans="1:7" x14ac:dyDescent="0.25">
      <c r="A64" s="180" t="s">
        <v>1594</v>
      </c>
      <c r="B64">
        <v>85105</v>
      </c>
      <c r="C64" s="129">
        <f t="shared" si="12"/>
        <v>6.5641632170313421E-3</v>
      </c>
      <c r="D64" s="129">
        <f t="shared" si="13"/>
        <v>0.36901793613769807</v>
      </c>
      <c r="E64">
        <v>1574</v>
      </c>
      <c r="F64" s="129">
        <f t="shared" si="14"/>
        <v>7.6824583866837385E-3</v>
      </c>
      <c r="G64" s="129">
        <f t="shared" si="15"/>
        <v>0.11948790896159317</v>
      </c>
    </row>
    <row r="65" spans="1:7" x14ac:dyDescent="0.25">
      <c r="A65" s="180" t="s">
        <v>1595</v>
      </c>
      <c r="B65">
        <v>85290</v>
      </c>
      <c r="C65" s="129">
        <f t="shared" si="12"/>
        <v>2.1737853240115152E-3</v>
      </c>
      <c r="D65" s="129">
        <f t="shared" si="13"/>
        <v>0.37199388723558274</v>
      </c>
      <c r="E65">
        <v>1582</v>
      </c>
      <c r="F65" s="129">
        <f t="shared" si="14"/>
        <v>5.0825921219822112E-3</v>
      </c>
      <c r="G65" s="129">
        <f t="shared" si="15"/>
        <v>0.1251778093883357</v>
      </c>
    </row>
    <row r="66" spans="1:7" x14ac:dyDescent="0.25">
      <c r="A66" s="180" t="s">
        <v>1604</v>
      </c>
      <c r="B66">
        <v>74190</v>
      </c>
      <c r="C66" s="129">
        <f t="shared" ref="C66:C70" si="16">(B66-B65)/B65</f>
        <v>-0.13014421385860006</v>
      </c>
      <c r="D66" s="129">
        <f>(B66-$B$66)/$B$66</f>
        <v>0</v>
      </c>
      <c r="E66">
        <v>1751</v>
      </c>
      <c r="F66" s="129">
        <f t="shared" ref="F66:F70" si="17">(E66-E65)/E65</f>
        <v>0.106826801517067</v>
      </c>
      <c r="G66" s="129">
        <f>(E66-$E$66)/$E$66</f>
        <v>0</v>
      </c>
    </row>
    <row r="67" spans="1:7" x14ac:dyDescent="0.25">
      <c r="A67" s="180" t="s">
        <v>1605</v>
      </c>
      <c r="B67">
        <v>85105</v>
      </c>
      <c r="C67" s="129">
        <f t="shared" si="16"/>
        <v>0.14712225367300175</v>
      </c>
      <c r="D67" s="129">
        <f t="shared" ref="D67:D70" si="18">(B67-$B$66)/$B$66</f>
        <v>0.14712225367300175</v>
      </c>
      <c r="E67">
        <v>1759</v>
      </c>
      <c r="F67" s="129">
        <f t="shared" si="17"/>
        <v>4.5688178183894918E-3</v>
      </c>
      <c r="G67" s="129">
        <f t="shared" ref="G67:G70" si="19">(E67-$E$66)/$E$66</f>
        <v>4.5688178183894918E-3</v>
      </c>
    </row>
    <row r="68" spans="1:7" x14ac:dyDescent="0.25">
      <c r="A68" s="180" t="s">
        <v>1606</v>
      </c>
      <c r="B68">
        <v>91950</v>
      </c>
      <c r="C68" s="129">
        <f t="shared" si="16"/>
        <v>8.0430056988426063E-2</v>
      </c>
      <c r="D68" s="129">
        <f t="shared" si="18"/>
        <v>0.23938536190861301</v>
      </c>
      <c r="E68">
        <v>1771</v>
      </c>
      <c r="F68" s="129">
        <f t="shared" si="17"/>
        <v>6.8220579874928933E-3</v>
      </c>
      <c r="G68" s="129">
        <f t="shared" si="19"/>
        <v>1.1422044545973729E-2</v>
      </c>
    </row>
    <row r="69" spans="1:7" x14ac:dyDescent="0.25">
      <c r="A69" s="180" t="s">
        <v>1607</v>
      </c>
      <c r="B69">
        <v>95650</v>
      </c>
      <c r="C69" s="129">
        <f t="shared" si="16"/>
        <v>4.0239260467645463E-2</v>
      </c>
      <c r="D69" s="129">
        <f t="shared" si="18"/>
        <v>0.28925731230624074</v>
      </c>
      <c r="E69">
        <v>1781</v>
      </c>
      <c r="F69" s="129">
        <f t="shared" si="17"/>
        <v>5.6465273856578201E-3</v>
      </c>
      <c r="G69" s="129">
        <f t="shared" si="19"/>
        <v>1.7133066818960593E-2</v>
      </c>
    </row>
    <row r="70" spans="1:7" x14ac:dyDescent="0.25">
      <c r="A70" s="180" t="s">
        <v>1608</v>
      </c>
      <c r="B70">
        <v>98050</v>
      </c>
      <c r="C70" s="129">
        <f t="shared" si="16"/>
        <v>2.5091479351803451E-2</v>
      </c>
      <c r="D70" s="129">
        <f t="shared" si="18"/>
        <v>0.3216066855371344</v>
      </c>
      <c r="E70">
        <v>1793</v>
      </c>
      <c r="F70" s="129">
        <f t="shared" si="17"/>
        <v>6.7377877596855699E-3</v>
      </c>
      <c r="G70" s="129">
        <f t="shared" si="19"/>
        <v>2.3986293546544833E-2</v>
      </c>
    </row>
    <row r="71" spans="1:7" x14ac:dyDescent="0.25">
      <c r="A71" s="180" t="s">
        <v>1651</v>
      </c>
      <c r="B71">
        <v>99350</v>
      </c>
      <c r="C71" s="129">
        <f t="shared" ref="C71:C86" si="20">(B71-B70)/B70</f>
        <v>1.3258541560428353E-2</v>
      </c>
      <c r="D71" s="129">
        <f t="shared" ref="D71:D81" si="21">(B71-$B$66)/$B$66</f>
        <v>0.33912926270386845</v>
      </c>
      <c r="E71">
        <v>1805</v>
      </c>
      <c r="F71" s="129">
        <f t="shared" ref="F71:F86" si="22">(E71-E70)/E70</f>
        <v>6.6926938092582268E-3</v>
      </c>
      <c r="G71" s="129">
        <f t="shared" ref="G71:G81" si="23">(E71-$E$66)/$E$66</f>
        <v>3.0839520274129069E-2</v>
      </c>
    </row>
    <row r="72" spans="1:7" x14ac:dyDescent="0.25">
      <c r="A72" s="180" t="s">
        <v>1652</v>
      </c>
      <c r="B72">
        <v>99905</v>
      </c>
      <c r="C72" s="129">
        <f t="shared" si="20"/>
        <v>5.5863110216406641E-3</v>
      </c>
      <c r="D72" s="129">
        <f t="shared" si="21"/>
        <v>0.34661005526351263</v>
      </c>
      <c r="E72">
        <v>1807</v>
      </c>
      <c r="F72" s="129">
        <f t="shared" si="22"/>
        <v>1.10803324099723E-3</v>
      </c>
      <c r="G72" s="129">
        <f t="shared" si="23"/>
        <v>3.1981724728726443E-2</v>
      </c>
    </row>
    <row r="73" spans="1:7" x14ac:dyDescent="0.25">
      <c r="A73" s="180" t="s">
        <v>1653</v>
      </c>
      <c r="B73">
        <v>100090</v>
      </c>
      <c r="C73" s="129">
        <f t="shared" si="20"/>
        <v>1.851759171212652E-3</v>
      </c>
      <c r="D73" s="129">
        <f t="shared" si="21"/>
        <v>0.349103652783394</v>
      </c>
      <c r="E73">
        <v>1807</v>
      </c>
      <c r="F73" s="129">
        <f t="shared" si="22"/>
        <v>0</v>
      </c>
      <c r="G73" s="129">
        <f t="shared" si="23"/>
        <v>3.1981724728726443E-2</v>
      </c>
    </row>
    <row r="74" spans="1:7" x14ac:dyDescent="0.25">
      <c r="A74" s="180" t="s">
        <v>1654</v>
      </c>
      <c r="B74">
        <v>100275</v>
      </c>
      <c r="C74" s="129">
        <f t="shared" si="20"/>
        <v>1.8483364971525627E-3</v>
      </c>
      <c r="D74" s="129">
        <f t="shared" si="21"/>
        <v>0.35159725030327538</v>
      </c>
      <c r="E74">
        <v>1809</v>
      </c>
      <c r="F74" s="129">
        <f t="shared" si="22"/>
        <v>1.1068068622025456E-3</v>
      </c>
      <c r="G74" s="129">
        <f t="shared" si="23"/>
        <v>3.3123929183323818E-2</v>
      </c>
    </row>
    <row r="75" spans="1:7" x14ac:dyDescent="0.25">
      <c r="A75" s="180" t="s">
        <v>1655</v>
      </c>
      <c r="B75">
        <v>100645</v>
      </c>
      <c r="C75" s="129">
        <f t="shared" si="20"/>
        <v>3.6898529045125902E-3</v>
      </c>
      <c r="D75" s="129">
        <f t="shared" si="21"/>
        <v>0.35658444534303813</v>
      </c>
      <c r="E75">
        <v>1815</v>
      </c>
      <c r="F75" s="129">
        <f t="shared" si="22"/>
        <v>3.3167495854063019E-3</v>
      </c>
      <c r="G75" s="129">
        <f t="shared" si="23"/>
        <v>3.6550542547115934E-2</v>
      </c>
    </row>
    <row r="76" spans="1:7" x14ac:dyDescent="0.25">
      <c r="A76" s="180" t="s">
        <v>1656</v>
      </c>
      <c r="B76">
        <v>100645</v>
      </c>
      <c r="C76" s="129">
        <f t="shared" si="20"/>
        <v>0</v>
      </c>
      <c r="D76" s="129">
        <f t="shared" si="21"/>
        <v>0.35658444534303813</v>
      </c>
      <c r="E76">
        <v>1817</v>
      </c>
      <c r="F76" s="129">
        <f t="shared" si="22"/>
        <v>1.1019283746556473E-3</v>
      </c>
      <c r="G76" s="129">
        <f t="shared" si="23"/>
        <v>3.7692747001713309E-2</v>
      </c>
    </row>
    <row r="77" spans="1:7" x14ac:dyDescent="0.25">
      <c r="A77" s="180" t="s">
        <v>1657</v>
      </c>
      <c r="B77">
        <v>101015</v>
      </c>
      <c r="C77" s="129">
        <f t="shared" si="20"/>
        <v>3.6762879427691391E-3</v>
      </c>
      <c r="D77" s="129">
        <f t="shared" si="21"/>
        <v>0.36157164038280093</v>
      </c>
      <c r="E77">
        <v>1825</v>
      </c>
      <c r="F77" s="129">
        <f t="shared" si="22"/>
        <v>4.4028618602091358E-3</v>
      </c>
      <c r="G77" s="129">
        <f t="shared" si="23"/>
        <v>4.22615648201028E-2</v>
      </c>
    </row>
    <row r="78" spans="1:7" x14ac:dyDescent="0.25">
      <c r="A78" s="180" t="s">
        <v>1658</v>
      </c>
      <c r="B78">
        <v>101570</v>
      </c>
      <c r="C78" s="129">
        <f t="shared" si="20"/>
        <v>5.4942335296738112E-3</v>
      </c>
      <c r="D78" s="129">
        <f t="shared" si="21"/>
        <v>0.36905243294244505</v>
      </c>
      <c r="E78">
        <v>1837</v>
      </c>
      <c r="F78" s="129">
        <f t="shared" si="22"/>
        <v>6.5753424657534251E-3</v>
      </c>
      <c r="G78" s="129">
        <f t="shared" si="23"/>
        <v>4.9114791547687033E-2</v>
      </c>
    </row>
    <row r="79" spans="1:7" x14ac:dyDescent="0.25">
      <c r="A79" s="180" t="s">
        <v>1659</v>
      </c>
      <c r="B79">
        <v>102125</v>
      </c>
      <c r="C79" s="129">
        <f t="shared" si="20"/>
        <v>5.4642118735847203E-3</v>
      </c>
      <c r="D79" s="129">
        <f t="shared" si="21"/>
        <v>0.37653322550208923</v>
      </c>
      <c r="E79">
        <v>1849</v>
      </c>
      <c r="F79" s="129">
        <f t="shared" si="22"/>
        <v>6.5323897659226998E-3</v>
      </c>
      <c r="G79" s="129">
        <f t="shared" si="23"/>
        <v>5.5968018275271272E-2</v>
      </c>
    </row>
    <row r="80" spans="1:7" x14ac:dyDescent="0.25">
      <c r="A80" s="180" t="s">
        <v>1660</v>
      </c>
      <c r="B80">
        <v>102495</v>
      </c>
      <c r="C80" s="129">
        <f t="shared" si="20"/>
        <v>3.6230110159118727E-3</v>
      </c>
      <c r="D80" s="129">
        <f t="shared" si="21"/>
        <v>0.38152042054185198</v>
      </c>
      <c r="E80">
        <v>1861</v>
      </c>
      <c r="F80" s="129">
        <f t="shared" si="22"/>
        <v>6.4899945916711737E-3</v>
      </c>
      <c r="G80" s="129">
        <f t="shared" si="23"/>
        <v>6.2821245002855505E-2</v>
      </c>
    </row>
    <row r="81" spans="1:7" x14ac:dyDescent="0.25">
      <c r="A81" s="180" t="s">
        <v>1661</v>
      </c>
      <c r="B81">
        <v>103050</v>
      </c>
      <c r="C81" s="129">
        <f t="shared" si="20"/>
        <v>5.4148982877213524E-3</v>
      </c>
      <c r="D81" s="129">
        <f t="shared" si="21"/>
        <v>0.38900121310149616</v>
      </c>
      <c r="E81">
        <v>1873</v>
      </c>
      <c r="F81" s="129">
        <f t="shared" si="22"/>
        <v>6.4481461579795809E-3</v>
      </c>
      <c r="G81" s="129">
        <f t="shared" si="23"/>
        <v>6.9674471730439752E-2</v>
      </c>
    </row>
    <row r="82" spans="1:7" x14ac:dyDescent="0.25">
      <c r="A82" s="180" t="s">
        <v>1662</v>
      </c>
      <c r="B82">
        <v>85447</v>
      </c>
      <c r="C82" s="129">
        <f t="shared" si="20"/>
        <v>-0.17081999029597283</v>
      </c>
      <c r="D82" s="129">
        <f>(B82-$B$82)/$B$82</f>
        <v>0</v>
      </c>
      <c r="E82">
        <v>1882</v>
      </c>
      <c r="F82" s="129">
        <f t="shared" si="22"/>
        <v>4.8051254671649763E-3</v>
      </c>
      <c r="G82" s="129">
        <f>(E82-E82)/E82</f>
        <v>0</v>
      </c>
    </row>
    <row r="83" spans="1:7" x14ac:dyDescent="0.25">
      <c r="A83" s="180" t="s">
        <v>1663</v>
      </c>
      <c r="B83">
        <v>89730</v>
      </c>
      <c r="C83" s="129">
        <f t="shared" si="20"/>
        <v>5.0124638664903388E-2</v>
      </c>
      <c r="D83" s="129">
        <f t="shared" ref="D83:D97" si="24">(B83-$B$82)/$B$82</f>
        <v>5.0124638664903388E-2</v>
      </c>
      <c r="E83">
        <v>1889</v>
      </c>
      <c r="F83" s="129">
        <f t="shared" si="22"/>
        <v>3.7194473963868225E-3</v>
      </c>
      <c r="G83" s="129">
        <f>(E83-$E$82)/$E$82</f>
        <v>3.7194473963868225E-3</v>
      </c>
    </row>
    <row r="84" spans="1:7" x14ac:dyDescent="0.25">
      <c r="A84" s="180" t="s">
        <v>1664</v>
      </c>
      <c r="B84">
        <v>96575</v>
      </c>
      <c r="C84" s="129">
        <f t="shared" si="20"/>
        <v>7.6284408781901264E-2</v>
      </c>
      <c r="D84" s="129">
        <f t="shared" si="24"/>
        <v>0.13023277587276325</v>
      </c>
      <c r="E84">
        <v>1895</v>
      </c>
      <c r="F84" s="129">
        <f t="shared" si="22"/>
        <v>3.1762837480148226E-3</v>
      </c>
      <c r="G84" s="129">
        <f t="shared" ref="G84:G97" si="25">(E84-$E$82)/$E$82</f>
        <v>6.9075451647183849E-3</v>
      </c>
    </row>
    <row r="85" spans="1:7" x14ac:dyDescent="0.25">
      <c r="A85" s="180" t="s">
        <v>1665</v>
      </c>
      <c r="B85">
        <v>100460</v>
      </c>
      <c r="C85" s="129">
        <f t="shared" si="20"/>
        <v>4.0227802226249026E-2</v>
      </c>
      <c r="D85" s="129">
        <f t="shared" si="24"/>
        <v>0.17569955645019719</v>
      </c>
      <c r="E85">
        <v>1903</v>
      </c>
      <c r="F85" s="129">
        <f t="shared" si="22"/>
        <v>4.221635883905013E-3</v>
      </c>
      <c r="G85" s="129">
        <f t="shared" si="25"/>
        <v>1.1158342189160468E-2</v>
      </c>
    </row>
    <row r="86" spans="1:7" x14ac:dyDescent="0.25">
      <c r="A86" s="180" t="s">
        <v>1666</v>
      </c>
      <c r="B86">
        <v>102865</v>
      </c>
      <c r="C86" s="129">
        <f t="shared" si="20"/>
        <v>2.3939876567788173E-2</v>
      </c>
      <c r="D86" s="129">
        <f t="shared" si="24"/>
        <v>0.20384565871241822</v>
      </c>
      <c r="E86">
        <v>1913</v>
      </c>
      <c r="F86" s="129">
        <f t="shared" si="22"/>
        <v>5.254860746190226E-3</v>
      </c>
      <c r="G86" s="129">
        <f t="shared" si="25"/>
        <v>1.647183846971307E-2</v>
      </c>
    </row>
    <row r="87" spans="1:7" x14ac:dyDescent="0.25">
      <c r="A87" s="180" t="s">
        <v>1733</v>
      </c>
      <c r="B87">
        <v>104160</v>
      </c>
      <c r="C87" s="129">
        <f t="shared" ref="C87:C119" si="26">(B87-B86)/B86</f>
        <v>1.2589316093909493E-2</v>
      </c>
      <c r="D87" s="129">
        <f t="shared" si="24"/>
        <v>0.21900125223822955</v>
      </c>
      <c r="E87">
        <v>1923</v>
      </c>
      <c r="F87" s="129">
        <f t="shared" ref="F87:F119" si="27">(E87-E86)/E86</f>
        <v>5.2273915316257188E-3</v>
      </c>
      <c r="G87" s="129">
        <f t="shared" si="25"/>
        <v>2.1785334750265676E-2</v>
      </c>
    </row>
    <row r="88" spans="1:7" x14ac:dyDescent="0.25">
      <c r="A88" s="180" t="s">
        <v>1734</v>
      </c>
      <c r="B88">
        <v>105085</v>
      </c>
      <c r="C88" s="129">
        <f t="shared" si="26"/>
        <v>8.8805683563748083E-3</v>
      </c>
      <c r="D88" s="129">
        <f t="shared" si="24"/>
        <v>0.22982667618523764</v>
      </c>
      <c r="E88">
        <v>1933</v>
      </c>
      <c r="F88" s="129">
        <f t="shared" si="27"/>
        <v>5.2002080083203327E-3</v>
      </c>
      <c r="G88" s="129">
        <f t="shared" si="25"/>
        <v>2.7098831030818279E-2</v>
      </c>
    </row>
    <row r="89" spans="1:7" x14ac:dyDescent="0.25">
      <c r="A89" s="180" t="s">
        <v>1735</v>
      </c>
      <c r="B89">
        <v>105640</v>
      </c>
      <c r="C89" s="129">
        <f t="shared" si="26"/>
        <v>5.2814388352286244E-3</v>
      </c>
      <c r="D89" s="129">
        <f t="shared" si="24"/>
        <v>0.23632193055344247</v>
      </c>
      <c r="E89">
        <v>1943</v>
      </c>
      <c r="F89" s="129">
        <f t="shared" si="27"/>
        <v>5.1733057423693739E-3</v>
      </c>
      <c r="G89" s="129">
        <f t="shared" si="25"/>
        <v>3.2412327311370885E-2</v>
      </c>
    </row>
    <row r="90" spans="1:7" x14ac:dyDescent="0.25">
      <c r="A90" s="180" t="s">
        <v>1736</v>
      </c>
      <c r="B90">
        <v>106195</v>
      </c>
      <c r="C90" s="129">
        <f t="shared" si="26"/>
        <v>5.2536917834153729E-3</v>
      </c>
      <c r="D90" s="129">
        <f t="shared" si="24"/>
        <v>0.24281718492164733</v>
      </c>
      <c r="E90">
        <v>1953</v>
      </c>
      <c r="F90" s="129">
        <f t="shared" si="27"/>
        <v>5.1466803911477095E-3</v>
      </c>
      <c r="G90" s="129">
        <f t="shared" si="25"/>
        <v>3.7725823591923488E-2</v>
      </c>
    </row>
    <row r="91" spans="1:7" x14ac:dyDescent="0.25">
      <c r="A91" s="180" t="s">
        <v>1737</v>
      </c>
      <c r="B91">
        <v>106750</v>
      </c>
      <c r="C91" s="129">
        <f t="shared" si="26"/>
        <v>5.2262347568152925E-3</v>
      </c>
      <c r="D91" s="129">
        <f t="shared" si="24"/>
        <v>0.24931243928985219</v>
      </c>
      <c r="E91">
        <v>1963</v>
      </c>
      <c r="F91" s="129">
        <f t="shared" si="27"/>
        <v>5.1203277009728623E-3</v>
      </c>
      <c r="G91" s="129">
        <f t="shared" si="25"/>
        <v>4.3039319872476091E-2</v>
      </c>
    </row>
    <row r="92" spans="1:7" x14ac:dyDescent="0.25">
      <c r="A92" s="180" t="s">
        <v>1738</v>
      </c>
      <c r="B92">
        <v>106935</v>
      </c>
      <c r="C92" s="129">
        <f t="shared" si="26"/>
        <v>1.7330210772833724E-3</v>
      </c>
      <c r="D92" s="129">
        <f t="shared" si="24"/>
        <v>0.25147752407925383</v>
      </c>
      <c r="E92">
        <v>1971</v>
      </c>
      <c r="F92" s="129">
        <f t="shared" si="27"/>
        <v>4.0753948038716251E-3</v>
      </c>
      <c r="G92" s="129">
        <f t="shared" si="25"/>
        <v>4.7290116896918172E-2</v>
      </c>
    </row>
    <row r="93" spans="1:7" x14ac:dyDescent="0.25">
      <c r="A93" s="180" t="s">
        <v>1739</v>
      </c>
      <c r="B93">
        <v>107120</v>
      </c>
      <c r="C93" s="129">
        <f t="shared" si="26"/>
        <v>1.7300229111142282E-3</v>
      </c>
      <c r="D93" s="129">
        <f t="shared" si="24"/>
        <v>0.25364260886865542</v>
      </c>
      <c r="E93">
        <v>1975</v>
      </c>
      <c r="F93" s="129">
        <f t="shared" si="27"/>
        <v>2.0294266869609334E-3</v>
      </c>
      <c r="G93" s="129">
        <f t="shared" si="25"/>
        <v>4.9415515409139216E-2</v>
      </c>
    </row>
    <row r="94" spans="1:7" x14ac:dyDescent="0.25">
      <c r="A94" s="180" t="s">
        <v>1740</v>
      </c>
      <c r="B94">
        <v>107490</v>
      </c>
      <c r="C94" s="129">
        <f t="shared" si="26"/>
        <v>3.454070201643017E-3</v>
      </c>
      <c r="D94" s="129">
        <f t="shared" si="24"/>
        <v>0.25797277844745864</v>
      </c>
      <c r="E94">
        <v>1981</v>
      </c>
      <c r="F94" s="129">
        <f t="shared" si="27"/>
        <v>3.0379746835443038E-3</v>
      </c>
      <c r="G94" s="129">
        <f t="shared" si="25"/>
        <v>5.2603613177470775E-2</v>
      </c>
    </row>
    <row r="95" spans="1:7" x14ac:dyDescent="0.25">
      <c r="A95" s="180" t="s">
        <v>1741</v>
      </c>
      <c r="B95">
        <v>107490</v>
      </c>
      <c r="C95" s="129">
        <f t="shared" si="26"/>
        <v>0</v>
      </c>
      <c r="D95" s="129">
        <f t="shared" si="24"/>
        <v>0.25797277844745864</v>
      </c>
      <c r="E95">
        <v>1981</v>
      </c>
      <c r="F95" s="129">
        <f t="shared" si="27"/>
        <v>0</v>
      </c>
      <c r="G95" s="129">
        <f t="shared" si="25"/>
        <v>5.2603613177470775E-2</v>
      </c>
    </row>
    <row r="96" spans="1:7" x14ac:dyDescent="0.25">
      <c r="A96" s="180" t="s">
        <v>1742</v>
      </c>
      <c r="B96">
        <v>107675</v>
      </c>
      <c r="C96" s="129">
        <f t="shared" si="26"/>
        <v>1.7210903339845568E-3</v>
      </c>
      <c r="D96" s="129">
        <f t="shared" si="24"/>
        <v>0.26013786323686028</v>
      </c>
      <c r="E96">
        <v>1985</v>
      </c>
      <c r="F96" s="129">
        <f t="shared" si="27"/>
        <v>2.0191822311963654E-3</v>
      </c>
      <c r="G96" s="129">
        <f t="shared" si="25"/>
        <v>5.4729011689691819E-2</v>
      </c>
    </row>
    <row r="97" spans="1:7" x14ac:dyDescent="0.25">
      <c r="A97" s="180" t="s">
        <v>1743</v>
      </c>
      <c r="B97">
        <v>107490</v>
      </c>
      <c r="C97" s="129">
        <f t="shared" si="26"/>
        <v>-1.7181332714186208E-3</v>
      </c>
      <c r="D97" s="129">
        <f t="shared" si="24"/>
        <v>0.25797277844745864</v>
      </c>
      <c r="E97">
        <v>1985</v>
      </c>
      <c r="F97" s="129">
        <f t="shared" si="27"/>
        <v>0</v>
      </c>
      <c r="G97" s="129">
        <f t="shared" si="25"/>
        <v>5.4729011689691819E-2</v>
      </c>
    </row>
    <row r="98" spans="1:7" x14ac:dyDescent="0.25">
      <c r="A98" s="180" t="s">
        <v>1744</v>
      </c>
      <c r="B98">
        <v>99102</v>
      </c>
      <c r="C98" s="129">
        <f t="shared" si="26"/>
        <v>-7.8035166061959246E-2</v>
      </c>
      <c r="D98" s="129">
        <f>(B98-$B$98)/$B$98</f>
        <v>0</v>
      </c>
      <c r="E98">
        <v>2186</v>
      </c>
      <c r="F98" s="129">
        <f t="shared" si="27"/>
        <v>0.10125944584382872</v>
      </c>
      <c r="G98" s="129">
        <f>(E98-$E$98)/$E$98</f>
        <v>0</v>
      </c>
    </row>
    <row r="99" spans="1:7" x14ac:dyDescent="0.25">
      <c r="A99" s="180" t="s">
        <v>1745</v>
      </c>
      <c r="B99">
        <v>107675</v>
      </c>
      <c r="C99" s="129">
        <f t="shared" si="26"/>
        <v>8.6506831345482427E-2</v>
      </c>
      <c r="D99" s="129">
        <f t="shared" ref="D99:D113" si="28">(B99-$B$98)/$B$98</f>
        <v>8.6506831345482427E-2</v>
      </c>
      <c r="E99">
        <v>2191</v>
      </c>
      <c r="F99" s="129">
        <f t="shared" si="27"/>
        <v>2.2872827081427266E-3</v>
      </c>
      <c r="G99" s="129">
        <f t="shared" ref="G99:G113" si="29">(E99-$E$98)/$E$98</f>
        <v>2.2872827081427266E-3</v>
      </c>
    </row>
    <row r="100" spans="1:7" x14ac:dyDescent="0.25">
      <c r="A100" s="180" t="s">
        <v>1746</v>
      </c>
      <c r="B100">
        <v>116555</v>
      </c>
      <c r="C100" s="129">
        <f t="shared" si="26"/>
        <v>8.2470397028093806E-2</v>
      </c>
      <c r="D100" s="129">
        <f t="shared" si="28"/>
        <v>0.17611148110028052</v>
      </c>
      <c r="E100">
        <v>2193</v>
      </c>
      <c r="F100" s="129">
        <f t="shared" si="27"/>
        <v>9.1282519397535371E-4</v>
      </c>
      <c r="G100" s="129">
        <f t="shared" si="29"/>
        <v>3.2021957913998169E-3</v>
      </c>
    </row>
    <row r="101" spans="1:7" x14ac:dyDescent="0.25">
      <c r="A101" s="180" t="s">
        <v>1747</v>
      </c>
      <c r="B101">
        <v>121365</v>
      </c>
      <c r="C101" s="129">
        <f t="shared" si="26"/>
        <v>4.1268070867830638E-2</v>
      </c>
      <c r="D101" s="129">
        <f t="shared" si="28"/>
        <v>0.22464733305079615</v>
      </c>
      <c r="E101">
        <v>2193</v>
      </c>
      <c r="F101" s="129">
        <f t="shared" si="27"/>
        <v>0</v>
      </c>
      <c r="G101" s="129">
        <f t="shared" si="29"/>
        <v>3.2021957913998169E-3</v>
      </c>
    </row>
    <row r="102" spans="1:7" x14ac:dyDescent="0.25">
      <c r="A102" s="180" t="s">
        <v>1748</v>
      </c>
      <c r="B102">
        <v>123770</v>
      </c>
      <c r="C102" s="129">
        <f t="shared" si="26"/>
        <v>1.9816256746178883E-2</v>
      </c>
      <c r="D102" s="129">
        <f t="shared" si="28"/>
        <v>0.24891525902605396</v>
      </c>
      <c r="E102">
        <v>2193</v>
      </c>
      <c r="F102" s="129">
        <f t="shared" si="27"/>
        <v>0</v>
      </c>
      <c r="G102" s="129">
        <f t="shared" si="29"/>
        <v>3.2021957913998169E-3</v>
      </c>
    </row>
    <row r="103" spans="1:7" x14ac:dyDescent="0.25">
      <c r="A103" s="180" t="s">
        <v>1749</v>
      </c>
      <c r="B103">
        <v>125435</v>
      </c>
      <c r="C103" s="129">
        <f t="shared" si="26"/>
        <v>1.3452371333925831E-2</v>
      </c>
      <c r="D103" s="129">
        <f t="shared" si="28"/>
        <v>0.26571613085507861</v>
      </c>
      <c r="E103">
        <v>2201</v>
      </c>
      <c r="F103" s="129">
        <f t="shared" si="27"/>
        <v>3.6479708162334701E-3</v>
      </c>
      <c r="G103" s="129">
        <f t="shared" si="29"/>
        <v>6.861848124428179E-3</v>
      </c>
    </row>
    <row r="104" spans="1:7" x14ac:dyDescent="0.25">
      <c r="A104" s="180" t="s">
        <v>1750</v>
      </c>
      <c r="B104">
        <v>126175</v>
      </c>
      <c r="C104" s="129">
        <f t="shared" si="26"/>
        <v>5.8994698449396105E-3</v>
      </c>
      <c r="D104" s="129">
        <f t="shared" si="28"/>
        <v>0.27318318500131178</v>
      </c>
      <c r="E104">
        <v>2205</v>
      </c>
      <c r="F104" s="129">
        <f t="shared" si="27"/>
        <v>1.817355747387551E-3</v>
      </c>
      <c r="G104" s="129">
        <f t="shared" si="29"/>
        <v>8.6916742909423604E-3</v>
      </c>
    </row>
    <row r="105" spans="1:7" x14ac:dyDescent="0.25">
      <c r="A105" s="180" t="s">
        <v>1751</v>
      </c>
      <c r="B105">
        <v>127100</v>
      </c>
      <c r="C105" s="129">
        <f t="shared" si="26"/>
        <v>7.3310877749157913E-3</v>
      </c>
      <c r="D105" s="129">
        <f t="shared" si="28"/>
        <v>0.28251700268410324</v>
      </c>
      <c r="E105">
        <v>2215</v>
      </c>
      <c r="F105" s="129">
        <f t="shared" si="27"/>
        <v>4.5351473922902496E-3</v>
      </c>
      <c r="G105" s="129">
        <f t="shared" si="29"/>
        <v>1.3266239707227814E-2</v>
      </c>
    </row>
    <row r="106" spans="1:7" x14ac:dyDescent="0.25">
      <c r="A106" s="180" t="s">
        <v>1752</v>
      </c>
      <c r="B106">
        <v>127655</v>
      </c>
      <c r="C106" s="129">
        <f t="shared" si="26"/>
        <v>4.3666404405979546E-3</v>
      </c>
      <c r="D106" s="129">
        <f t="shared" si="28"/>
        <v>0.28811729329377811</v>
      </c>
      <c r="E106">
        <v>2225</v>
      </c>
      <c r="F106" s="129">
        <f t="shared" si="27"/>
        <v>4.5146726862302479E-3</v>
      </c>
      <c r="G106" s="129">
        <f t="shared" si="29"/>
        <v>1.7840805123513267E-2</v>
      </c>
    </row>
    <row r="107" spans="1:7" x14ac:dyDescent="0.25">
      <c r="A107" s="180" t="s">
        <v>1753</v>
      </c>
      <c r="B107">
        <v>128005</v>
      </c>
      <c r="C107" s="129">
        <f t="shared" si="26"/>
        <v>2.7417649132427243E-3</v>
      </c>
      <c r="D107" s="129">
        <f t="shared" si="28"/>
        <v>0.29164900809267219</v>
      </c>
      <c r="E107">
        <v>2231</v>
      </c>
      <c r="F107" s="129">
        <f t="shared" si="27"/>
        <v>2.696629213483146E-3</v>
      </c>
      <c r="G107" s="129">
        <f t="shared" si="29"/>
        <v>2.0585544373284539E-2</v>
      </c>
    </row>
    <row r="108" spans="1:7" x14ac:dyDescent="0.25">
      <c r="A108" s="180" t="s">
        <v>1754</v>
      </c>
      <c r="B108">
        <v>128395</v>
      </c>
      <c r="C108" s="129">
        <f t="shared" si="26"/>
        <v>3.046755986094293E-3</v>
      </c>
      <c r="D108" s="129">
        <f t="shared" si="28"/>
        <v>0.29558434744001127</v>
      </c>
      <c r="E108">
        <v>2241</v>
      </c>
      <c r="F108" s="129">
        <f t="shared" si="27"/>
        <v>4.4822949350067235E-3</v>
      </c>
      <c r="G108" s="129">
        <f t="shared" si="29"/>
        <v>2.5160109789569989E-2</v>
      </c>
    </row>
    <row r="109" spans="1:7" x14ac:dyDescent="0.25">
      <c r="A109" s="180" t="s">
        <v>1755</v>
      </c>
      <c r="B109">
        <v>128950</v>
      </c>
      <c r="C109" s="129">
        <f t="shared" si="26"/>
        <v>4.3225982320183806E-3</v>
      </c>
      <c r="D109" s="129">
        <f t="shared" si="28"/>
        <v>0.3011846380496862</v>
      </c>
      <c r="E109">
        <v>2251</v>
      </c>
      <c r="F109" s="129">
        <f t="shared" si="27"/>
        <v>4.4622936189201252E-3</v>
      </c>
      <c r="G109" s="129">
        <f t="shared" si="29"/>
        <v>2.9734675205855442E-2</v>
      </c>
    </row>
    <row r="110" spans="1:7" x14ac:dyDescent="0.25">
      <c r="A110" s="180" t="s">
        <v>1756</v>
      </c>
      <c r="B110">
        <v>129320</v>
      </c>
      <c r="C110" s="129">
        <f t="shared" si="26"/>
        <v>2.8693291973633192E-3</v>
      </c>
      <c r="D110" s="129">
        <f t="shared" si="28"/>
        <v>0.30491816512280279</v>
      </c>
      <c r="E110">
        <v>2261</v>
      </c>
      <c r="F110" s="129">
        <f t="shared" si="27"/>
        <v>4.4424700133274099E-3</v>
      </c>
      <c r="G110" s="129">
        <f t="shared" si="29"/>
        <v>3.4309240622140899E-2</v>
      </c>
    </row>
    <row r="111" spans="1:7" x14ac:dyDescent="0.25">
      <c r="A111" s="180" t="s">
        <v>1757</v>
      </c>
      <c r="B111">
        <v>129690</v>
      </c>
      <c r="C111" s="129">
        <f t="shared" si="26"/>
        <v>2.8611197030621715E-3</v>
      </c>
      <c r="D111" s="129">
        <f t="shared" si="28"/>
        <v>0.30865169219591937</v>
      </c>
      <c r="E111">
        <v>2269</v>
      </c>
      <c r="F111" s="129">
        <f t="shared" si="27"/>
        <v>3.5382574082264487E-3</v>
      </c>
      <c r="G111" s="129">
        <f t="shared" si="29"/>
        <v>3.796889295516926E-2</v>
      </c>
    </row>
    <row r="112" spans="1:7" x14ac:dyDescent="0.25">
      <c r="A112" s="180" t="s">
        <v>1758</v>
      </c>
      <c r="B112">
        <v>130060</v>
      </c>
      <c r="C112" s="129">
        <f t="shared" si="26"/>
        <v>2.8529570514303337E-3</v>
      </c>
      <c r="D112" s="129">
        <f t="shared" si="28"/>
        <v>0.31238521926903595</v>
      </c>
      <c r="E112">
        <v>2277</v>
      </c>
      <c r="F112" s="129">
        <f t="shared" si="27"/>
        <v>3.5257822829440283E-3</v>
      </c>
      <c r="G112" s="129">
        <f t="shared" si="29"/>
        <v>4.1628545288197621E-2</v>
      </c>
    </row>
    <row r="113" spans="1:7" x14ac:dyDescent="0.25">
      <c r="A113" s="180" t="s">
        <v>1759</v>
      </c>
      <c r="B113">
        <v>130430</v>
      </c>
      <c r="C113" s="129">
        <f t="shared" si="26"/>
        <v>2.8448408426879901E-3</v>
      </c>
      <c r="D113" s="129">
        <f t="shared" si="28"/>
        <v>0.31611874634215253</v>
      </c>
      <c r="E113">
        <v>2285</v>
      </c>
      <c r="F113" s="129">
        <f t="shared" si="27"/>
        <v>3.513394817742644E-3</v>
      </c>
      <c r="G113" s="129">
        <f t="shared" si="29"/>
        <v>4.5288197621225983E-2</v>
      </c>
    </row>
    <row r="114" spans="1:7" x14ac:dyDescent="0.25">
      <c r="A114" s="180" t="s">
        <v>16</v>
      </c>
      <c r="B114">
        <v>95835</v>
      </c>
      <c r="C114" s="129">
        <f t="shared" si="26"/>
        <v>-0.26523805872882006</v>
      </c>
      <c r="D114" s="129">
        <f>(B114-$B$114)/$B$114</f>
        <v>0</v>
      </c>
      <c r="E114">
        <v>2297</v>
      </c>
      <c r="F114" s="129">
        <f t="shared" si="27"/>
        <v>5.2516411378555799E-3</v>
      </c>
      <c r="G114" s="129">
        <f>(E114-$E$114)/$E$114</f>
        <v>0</v>
      </c>
    </row>
    <row r="115" spans="1:7" x14ac:dyDescent="0.25">
      <c r="A115" s="180" t="s">
        <v>715</v>
      </c>
      <c r="B115">
        <v>108784</v>
      </c>
      <c r="C115" s="129">
        <f t="shared" si="26"/>
        <v>0.13511765012782387</v>
      </c>
      <c r="D115" s="129">
        <f t="shared" ref="D115:D129" si="30">(B115-$B$114)/$B$114</f>
        <v>0.13511765012782387</v>
      </c>
      <c r="E115">
        <v>2300</v>
      </c>
      <c r="F115" s="129">
        <f t="shared" si="27"/>
        <v>1.3060513713539399E-3</v>
      </c>
      <c r="G115" s="129">
        <f t="shared" ref="G115:G129" si="31">(E115-$E$114)/$E$114</f>
        <v>1.3060513713539399E-3</v>
      </c>
    </row>
    <row r="116" spans="1:7" x14ac:dyDescent="0.25">
      <c r="A116" s="180" t="s">
        <v>702</v>
      </c>
      <c r="B116">
        <v>116555</v>
      </c>
      <c r="C116" s="129">
        <f t="shared" si="26"/>
        <v>7.1435137520223568E-2</v>
      </c>
      <c r="D116" s="129">
        <f t="shared" si="30"/>
        <v>0.21620493556633796</v>
      </c>
      <c r="E116">
        <v>2307</v>
      </c>
      <c r="F116" s="129">
        <f t="shared" si="27"/>
        <v>3.0434782608695652E-3</v>
      </c>
      <c r="G116" s="129">
        <f t="shared" si="31"/>
        <v>4.3535045711797999E-3</v>
      </c>
    </row>
    <row r="117" spans="1:7" x14ac:dyDescent="0.25">
      <c r="A117" s="180" t="s">
        <v>703</v>
      </c>
      <c r="B117">
        <v>120995</v>
      </c>
      <c r="C117" s="129">
        <f t="shared" si="26"/>
        <v>3.8093603877997512E-2</v>
      </c>
      <c r="D117" s="129">
        <f t="shared" si="30"/>
        <v>0.26253456461626756</v>
      </c>
      <c r="E117">
        <v>2311</v>
      </c>
      <c r="F117" s="129">
        <f t="shared" si="27"/>
        <v>1.7338534893801473E-3</v>
      </c>
      <c r="G117" s="129">
        <f t="shared" si="31"/>
        <v>6.0949063996517195E-3</v>
      </c>
    </row>
    <row r="118" spans="1:7" x14ac:dyDescent="0.25">
      <c r="A118" s="180" t="s">
        <v>704</v>
      </c>
      <c r="B118">
        <v>123585</v>
      </c>
      <c r="C118" s="129">
        <f t="shared" si="26"/>
        <v>2.1405843216661846E-2</v>
      </c>
      <c r="D118" s="129">
        <f t="shared" si="30"/>
        <v>0.28956018156205982</v>
      </c>
      <c r="E118">
        <v>2319</v>
      </c>
      <c r="F118" s="129">
        <f t="shared" si="27"/>
        <v>3.4617048896581565E-3</v>
      </c>
      <c r="G118" s="129">
        <f t="shared" si="31"/>
        <v>9.5777100565955595E-3</v>
      </c>
    </row>
    <row r="119" spans="1:7" x14ac:dyDescent="0.25">
      <c r="A119" s="180" t="s">
        <v>705</v>
      </c>
      <c r="B119">
        <v>125065</v>
      </c>
      <c r="C119" s="129">
        <f t="shared" si="26"/>
        <v>1.1975563377432536E-2</v>
      </c>
      <c r="D119" s="129">
        <f t="shared" si="30"/>
        <v>0.30500339124536963</v>
      </c>
      <c r="E119">
        <v>2326</v>
      </c>
      <c r="F119" s="129">
        <f t="shared" si="27"/>
        <v>3.0185424752048298E-3</v>
      </c>
      <c r="G119" s="129">
        <f t="shared" si="31"/>
        <v>1.2625163256421419E-2</v>
      </c>
    </row>
    <row r="120" spans="1:7" x14ac:dyDescent="0.25">
      <c r="A120" s="180" t="s">
        <v>21</v>
      </c>
      <c r="B120">
        <v>125990</v>
      </c>
      <c r="C120" s="129">
        <f t="shared" ref="C120:C179" si="32">(B120-B119)/B119</f>
        <v>7.3961539999200417E-3</v>
      </c>
      <c r="D120" s="129">
        <f t="shared" si="30"/>
        <v>0.3146553972974383</v>
      </c>
      <c r="E120">
        <v>2334</v>
      </c>
      <c r="F120" s="129">
        <f t="shared" ref="F120:F179" si="33">(E120-E119)/E119</f>
        <v>3.4393809114359416E-3</v>
      </c>
      <c r="G120" s="129">
        <f t="shared" si="31"/>
        <v>1.610796691336526E-2</v>
      </c>
    </row>
    <row r="121" spans="1:7" x14ac:dyDescent="0.25">
      <c r="A121" s="180" t="s">
        <v>22</v>
      </c>
      <c r="B121">
        <v>126545</v>
      </c>
      <c r="C121" s="129">
        <f t="shared" si="32"/>
        <v>4.4051115167870469E-3</v>
      </c>
      <c r="D121" s="129">
        <f t="shared" si="30"/>
        <v>0.32044660092867949</v>
      </c>
      <c r="E121">
        <v>2340</v>
      </c>
      <c r="F121" s="129">
        <f t="shared" si="33"/>
        <v>2.5706940874035988E-3</v>
      </c>
      <c r="G121" s="129">
        <f t="shared" si="31"/>
        <v>1.8720069656073139E-2</v>
      </c>
    </row>
    <row r="122" spans="1:7" x14ac:dyDescent="0.25">
      <c r="A122" s="180" t="s">
        <v>23</v>
      </c>
      <c r="B122">
        <v>126915</v>
      </c>
      <c r="C122" s="129">
        <f t="shared" si="32"/>
        <v>2.9238610770872023E-3</v>
      </c>
      <c r="D122" s="129">
        <f t="shared" si="30"/>
        <v>0.32430740334950697</v>
      </c>
      <c r="E122">
        <v>2344</v>
      </c>
      <c r="F122" s="129">
        <f t="shared" si="33"/>
        <v>1.7094017094017094E-3</v>
      </c>
      <c r="G122" s="129">
        <f t="shared" si="31"/>
        <v>2.0461471484545059E-2</v>
      </c>
    </row>
    <row r="123" spans="1:7" x14ac:dyDescent="0.25">
      <c r="A123" s="180" t="s">
        <v>17</v>
      </c>
      <c r="B123">
        <v>127285</v>
      </c>
      <c r="C123" s="129">
        <f t="shared" si="32"/>
        <v>2.9153370365992987E-3</v>
      </c>
      <c r="D123" s="129">
        <f t="shared" si="30"/>
        <v>0.32816820577033445</v>
      </c>
      <c r="E123">
        <v>2350</v>
      </c>
      <c r="F123" s="129">
        <f t="shared" si="33"/>
        <v>2.5597269624573378E-3</v>
      </c>
      <c r="G123" s="129">
        <f t="shared" si="31"/>
        <v>2.3073574227252938E-2</v>
      </c>
    </row>
    <row r="124" spans="1:7" x14ac:dyDescent="0.25">
      <c r="A124" s="180" t="s">
        <v>18</v>
      </c>
      <c r="B124">
        <v>127655</v>
      </c>
      <c r="C124" s="129">
        <f t="shared" si="32"/>
        <v>2.9068625525395767E-3</v>
      </c>
      <c r="D124" s="129">
        <f t="shared" si="30"/>
        <v>0.33202900819116188</v>
      </c>
      <c r="E124">
        <v>2356</v>
      </c>
      <c r="F124" s="129">
        <f t="shared" si="33"/>
        <v>2.553191489361702E-3</v>
      </c>
      <c r="G124" s="129">
        <f t="shared" si="31"/>
        <v>2.5685676969960818E-2</v>
      </c>
    </row>
    <row r="125" spans="1:7" x14ac:dyDescent="0.25">
      <c r="A125" s="180" t="s">
        <v>24</v>
      </c>
      <c r="B125">
        <v>127840</v>
      </c>
      <c r="C125" s="129">
        <f t="shared" si="32"/>
        <v>1.4492185969997259E-3</v>
      </c>
      <c r="D125" s="129">
        <f t="shared" si="30"/>
        <v>0.33395940940157565</v>
      </c>
      <c r="E125">
        <v>2360</v>
      </c>
      <c r="F125" s="129">
        <f t="shared" si="33"/>
        <v>1.697792869269949E-3</v>
      </c>
      <c r="G125" s="129">
        <f t="shared" si="31"/>
        <v>2.7427078798432737E-2</v>
      </c>
    </row>
    <row r="126" spans="1:7" x14ac:dyDescent="0.25">
      <c r="A126" s="180" t="s">
        <v>25</v>
      </c>
      <c r="B126">
        <v>128025</v>
      </c>
      <c r="C126" s="129">
        <f t="shared" si="32"/>
        <v>1.4471214017521903E-3</v>
      </c>
      <c r="D126" s="129">
        <f t="shared" si="30"/>
        <v>0.33588981061198936</v>
      </c>
      <c r="E126">
        <v>2366</v>
      </c>
      <c r="F126" s="129">
        <f t="shared" si="33"/>
        <v>2.542372881355932E-3</v>
      </c>
      <c r="G126" s="129">
        <f t="shared" si="31"/>
        <v>3.0039181541140617E-2</v>
      </c>
    </row>
    <row r="127" spans="1:7" x14ac:dyDescent="0.25">
      <c r="A127" s="180" t="s">
        <v>26</v>
      </c>
      <c r="B127">
        <v>128025</v>
      </c>
      <c r="C127" s="129">
        <f t="shared" si="32"/>
        <v>0</v>
      </c>
      <c r="D127" s="129">
        <f t="shared" si="30"/>
        <v>0.33588981061198936</v>
      </c>
      <c r="E127">
        <v>2364</v>
      </c>
      <c r="F127" s="129">
        <f t="shared" si="33"/>
        <v>-8.4530853761622987E-4</v>
      </c>
      <c r="G127" s="129">
        <f t="shared" si="31"/>
        <v>2.9168480626904657E-2</v>
      </c>
    </row>
    <row r="128" spans="1:7" x14ac:dyDescent="0.25">
      <c r="A128" s="180" t="s">
        <v>27</v>
      </c>
      <c r="B128">
        <v>128025</v>
      </c>
      <c r="C128" s="129">
        <f t="shared" si="32"/>
        <v>0</v>
      </c>
      <c r="D128" s="129">
        <f t="shared" si="30"/>
        <v>0.33588981061198936</v>
      </c>
      <c r="E128">
        <v>2364</v>
      </c>
      <c r="F128" s="129">
        <f t="shared" si="33"/>
        <v>0</v>
      </c>
      <c r="G128" s="129">
        <f t="shared" si="31"/>
        <v>2.9168480626904657E-2</v>
      </c>
    </row>
    <row r="129" spans="1:7" x14ac:dyDescent="0.25">
      <c r="A129" s="180" t="s">
        <v>28</v>
      </c>
      <c r="B129">
        <v>128210</v>
      </c>
      <c r="C129" s="129">
        <f t="shared" si="32"/>
        <v>1.4450302675258738E-3</v>
      </c>
      <c r="D129" s="129">
        <f t="shared" si="30"/>
        <v>0.33782021182240307</v>
      </c>
      <c r="E129">
        <v>2370</v>
      </c>
      <c r="F129" s="129">
        <f t="shared" si="33"/>
        <v>2.5380710659898475E-3</v>
      </c>
      <c r="G129" s="129">
        <f t="shared" si="31"/>
        <v>3.1780583369612536E-2</v>
      </c>
    </row>
    <row r="130" spans="1:7" x14ac:dyDescent="0.25">
      <c r="A130" s="180" t="s">
        <v>16</v>
      </c>
      <c r="B130">
        <v>95095</v>
      </c>
      <c r="C130" s="129">
        <f t="shared" si="32"/>
        <v>-0.25828718508696669</v>
      </c>
      <c r="D130" s="129">
        <f>(B130-$B$130)/$B$130</f>
        <v>0</v>
      </c>
      <c r="E130">
        <v>2372</v>
      </c>
      <c r="F130" s="129">
        <f t="shared" si="33"/>
        <v>8.438818565400844E-4</v>
      </c>
      <c r="G130" s="129">
        <f>(E130-$E$130)/$E$130</f>
        <v>0</v>
      </c>
    </row>
    <row r="131" spans="1:7" x14ac:dyDescent="0.25">
      <c r="A131" s="180" t="s">
        <v>715</v>
      </c>
      <c r="B131">
        <v>109525</v>
      </c>
      <c r="C131" s="129">
        <f t="shared" si="32"/>
        <v>0.15174299384825701</v>
      </c>
      <c r="D131" s="129">
        <f t="shared" ref="D131:D145" si="34">(B131-$B$130)/$B$130</f>
        <v>0.15174299384825701</v>
      </c>
      <c r="E131">
        <v>2376</v>
      </c>
      <c r="F131" s="129">
        <f t="shared" si="33"/>
        <v>1.6863406408094434E-3</v>
      </c>
      <c r="G131" s="129">
        <f t="shared" ref="G131:G145" si="35">(E131-$E$130)/$E$130</f>
        <v>1.6863406408094434E-3</v>
      </c>
    </row>
    <row r="132" spans="1:7" x14ac:dyDescent="0.25">
      <c r="A132" s="180" t="s">
        <v>702</v>
      </c>
      <c r="B132">
        <v>112000</v>
      </c>
      <c r="C132" s="129">
        <f t="shared" si="32"/>
        <v>2.2597580461081946E-2</v>
      </c>
      <c r="D132" s="129">
        <f t="shared" si="34"/>
        <v>0.1777695988222304</v>
      </c>
      <c r="E132">
        <v>2379</v>
      </c>
      <c r="F132" s="129">
        <f t="shared" si="33"/>
        <v>1.2626262626262627E-3</v>
      </c>
      <c r="G132" s="129">
        <f t="shared" si="35"/>
        <v>2.951096121416526E-3</v>
      </c>
    </row>
    <row r="133" spans="1:7" x14ac:dyDescent="0.25">
      <c r="A133" s="180" t="s">
        <v>703</v>
      </c>
      <c r="B133">
        <v>118000</v>
      </c>
      <c r="C133" s="129">
        <f t="shared" si="32"/>
        <v>5.3571428571428568E-2</v>
      </c>
      <c r="D133" s="129">
        <f t="shared" si="34"/>
        <v>0.2408643987591356</v>
      </c>
      <c r="E133">
        <v>2385</v>
      </c>
      <c r="F133" s="129">
        <f t="shared" si="33"/>
        <v>2.5220680958385876E-3</v>
      </c>
      <c r="G133" s="129">
        <f t="shared" si="35"/>
        <v>5.4806070826306915E-3</v>
      </c>
    </row>
    <row r="134" spans="1:7" x14ac:dyDescent="0.25">
      <c r="A134" s="180" t="s">
        <v>704</v>
      </c>
      <c r="B134">
        <v>126175</v>
      </c>
      <c r="C134" s="129">
        <f t="shared" si="32"/>
        <v>6.9279661016949157E-2</v>
      </c>
      <c r="D134" s="129">
        <f t="shared" si="34"/>
        <v>0.32683106367316894</v>
      </c>
      <c r="E134">
        <v>2385</v>
      </c>
      <c r="F134" s="129">
        <f t="shared" si="33"/>
        <v>0</v>
      </c>
      <c r="G134" s="129">
        <f t="shared" si="35"/>
        <v>5.4806070826306915E-3</v>
      </c>
    </row>
    <row r="135" spans="1:7" x14ac:dyDescent="0.25">
      <c r="A135" s="180" t="s">
        <v>705</v>
      </c>
      <c r="B135">
        <v>127840</v>
      </c>
      <c r="C135" s="129">
        <f t="shared" si="32"/>
        <v>1.3195957994848425E-2</v>
      </c>
      <c r="D135" s="129">
        <f t="shared" si="34"/>
        <v>0.34433987065566013</v>
      </c>
      <c r="E135">
        <v>2389</v>
      </c>
      <c r="F135" s="129">
        <f t="shared" si="33"/>
        <v>1.6771488469601676E-3</v>
      </c>
      <c r="G135" s="129">
        <f t="shared" si="35"/>
        <v>7.166947723440135E-3</v>
      </c>
    </row>
    <row r="136" spans="1:7" x14ac:dyDescent="0.25">
      <c r="A136" s="180" t="s">
        <v>21</v>
      </c>
      <c r="B136">
        <v>128765</v>
      </c>
      <c r="C136" s="129">
        <f t="shared" si="32"/>
        <v>7.235607008760951E-3</v>
      </c>
      <c r="D136" s="129">
        <f t="shared" si="34"/>
        <v>0.35406698564593303</v>
      </c>
      <c r="E136">
        <v>2395</v>
      </c>
      <c r="F136" s="129">
        <f t="shared" si="33"/>
        <v>2.5115110925073253E-3</v>
      </c>
      <c r="G136" s="129">
        <f t="shared" si="35"/>
        <v>9.6964586846543001E-3</v>
      </c>
    </row>
    <row r="137" spans="1:7" x14ac:dyDescent="0.25">
      <c r="A137" s="180" t="s">
        <v>22</v>
      </c>
      <c r="B137">
        <v>129320</v>
      </c>
      <c r="C137" s="129">
        <f t="shared" si="32"/>
        <v>4.3101774550537804E-3</v>
      </c>
      <c r="D137" s="129">
        <f t="shared" si="34"/>
        <v>0.35990325464009676</v>
      </c>
      <c r="E137">
        <v>2399</v>
      </c>
      <c r="F137" s="129">
        <f t="shared" si="33"/>
        <v>1.6701461377870565E-3</v>
      </c>
      <c r="G137" s="129">
        <f t="shared" si="35"/>
        <v>1.1382799325463743E-2</v>
      </c>
    </row>
    <row r="138" spans="1:7" x14ac:dyDescent="0.25">
      <c r="A138" s="180" t="s">
        <v>23</v>
      </c>
      <c r="B138">
        <v>129690</v>
      </c>
      <c r="C138" s="129">
        <f t="shared" si="32"/>
        <v>2.8611197030621715E-3</v>
      </c>
      <c r="D138" s="129">
        <f t="shared" si="34"/>
        <v>0.36379410063620587</v>
      </c>
      <c r="E138">
        <v>2403</v>
      </c>
      <c r="F138" s="129">
        <f t="shared" si="33"/>
        <v>1.6673614005835765E-3</v>
      </c>
      <c r="G138" s="129">
        <f t="shared" si="35"/>
        <v>1.3069139966273187E-2</v>
      </c>
    </row>
    <row r="139" spans="1:7" x14ac:dyDescent="0.25">
      <c r="A139" s="180" t="s">
        <v>17</v>
      </c>
      <c r="B139">
        <v>130060</v>
      </c>
      <c r="C139" s="129">
        <f t="shared" si="32"/>
        <v>2.8529570514303337E-3</v>
      </c>
      <c r="D139" s="129">
        <f t="shared" si="34"/>
        <v>0.36768494663231505</v>
      </c>
      <c r="E139">
        <v>2409</v>
      </c>
      <c r="F139" s="129">
        <f t="shared" si="33"/>
        <v>2.4968789013732834E-3</v>
      </c>
      <c r="G139" s="129">
        <f t="shared" si="35"/>
        <v>1.5598650927487353E-2</v>
      </c>
    </row>
    <row r="140" spans="1:7" x14ac:dyDescent="0.25">
      <c r="A140" s="180" t="s">
        <v>18</v>
      </c>
      <c r="B140">
        <v>130430</v>
      </c>
      <c r="C140" s="129">
        <f t="shared" si="32"/>
        <v>2.8448408426879901E-3</v>
      </c>
      <c r="D140" s="129">
        <f t="shared" si="34"/>
        <v>0.37157579262842422</v>
      </c>
      <c r="E140">
        <v>2415</v>
      </c>
      <c r="F140" s="129">
        <f t="shared" si="33"/>
        <v>2.4906600249066002E-3</v>
      </c>
      <c r="G140" s="129">
        <f t="shared" si="35"/>
        <v>1.8128161888701519E-2</v>
      </c>
    </row>
    <row r="141" spans="1:7" x14ac:dyDescent="0.25">
      <c r="A141" s="180" t="s">
        <v>24</v>
      </c>
      <c r="B141">
        <v>130615</v>
      </c>
      <c r="C141" s="129">
        <f t="shared" si="32"/>
        <v>1.4183853407958291E-3</v>
      </c>
      <c r="D141" s="129">
        <f t="shared" si="34"/>
        <v>0.37352121562647878</v>
      </c>
      <c r="E141">
        <v>2421</v>
      </c>
      <c r="F141" s="129">
        <f t="shared" si="33"/>
        <v>2.4844720496894411E-3</v>
      </c>
      <c r="G141" s="129">
        <f t="shared" si="35"/>
        <v>2.0657672849915681E-2</v>
      </c>
    </row>
    <row r="142" spans="1:7" x14ac:dyDescent="0.25">
      <c r="A142" s="180" t="s">
        <v>25</v>
      </c>
      <c r="B142">
        <v>130800</v>
      </c>
      <c r="C142" s="129">
        <f t="shared" si="32"/>
        <v>1.4163763733108755E-3</v>
      </c>
      <c r="D142" s="129">
        <f t="shared" si="34"/>
        <v>0.37546663862453339</v>
      </c>
      <c r="E142">
        <v>2423</v>
      </c>
      <c r="F142" s="129">
        <f t="shared" si="33"/>
        <v>8.2610491532424622E-4</v>
      </c>
      <c r="G142" s="129">
        <f t="shared" si="35"/>
        <v>2.1500843170320406E-2</v>
      </c>
    </row>
    <row r="143" spans="1:7" x14ac:dyDescent="0.25">
      <c r="A143" s="180" t="s">
        <v>26</v>
      </c>
      <c r="B143">
        <v>130985</v>
      </c>
      <c r="C143" s="129">
        <f t="shared" si="32"/>
        <v>1.4143730886850153E-3</v>
      </c>
      <c r="D143" s="129">
        <f t="shared" si="34"/>
        <v>0.37741206162258795</v>
      </c>
      <c r="E143">
        <v>2425</v>
      </c>
      <c r="F143" s="129">
        <f t="shared" si="33"/>
        <v>8.2542302930251759E-4</v>
      </c>
      <c r="G143" s="129">
        <f t="shared" si="35"/>
        <v>2.2344013490725127E-2</v>
      </c>
    </row>
    <row r="144" spans="1:7" x14ac:dyDescent="0.25">
      <c r="A144" s="180" t="s">
        <v>27</v>
      </c>
      <c r="B144">
        <v>131170</v>
      </c>
      <c r="C144" s="129">
        <f t="shared" si="32"/>
        <v>1.4123754628392565E-3</v>
      </c>
      <c r="D144" s="129">
        <f t="shared" si="34"/>
        <v>0.3793574846206425</v>
      </c>
      <c r="E144">
        <v>2431</v>
      </c>
      <c r="F144" s="129">
        <f t="shared" si="33"/>
        <v>2.4742268041237111E-3</v>
      </c>
      <c r="G144" s="129">
        <f t="shared" si="35"/>
        <v>2.4873524451939293E-2</v>
      </c>
    </row>
    <row r="145" spans="1:7" x14ac:dyDescent="0.25">
      <c r="A145" s="180" t="s">
        <v>28</v>
      </c>
      <c r="B145">
        <v>131540</v>
      </c>
      <c r="C145" s="129">
        <f t="shared" si="32"/>
        <v>2.8207669436608983E-3</v>
      </c>
      <c r="D145" s="129">
        <f t="shared" si="34"/>
        <v>0.38324833061675168</v>
      </c>
      <c r="E145">
        <v>2770.3333333333335</v>
      </c>
      <c r="F145" s="129">
        <f t="shared" si="33"/>
        <v>0.13958590429178672</v>
      </c>
      <c r="G145" s="129">
        <f t="shared" si="35"/>
        <v>0.1679314221472738</v>
      </c>
    </row>
    <row r="146" spans="1:7" x14ac:dyDescent="0.25">
      <c r="A146" s="180" t="s">
        <v>16</v>
      </c>
      <c r="B146">
        <v>113410</v>
      </c>
      <c r="C146" s="129">
        <f t="shared" si="32"/>
        <v>-0.13782879732400791</v>
      </c>
      <c r="D146" s="129">
        <f>(B146-$B$146)/$B$146</f>
        <v>0</v>
      </c>
      <c r="E146">
        <v>2693</v>
      </c>
      <c r="F146" s="129">
        <f t="shared" si="33"/>
        <v>-2.7914811695343572E-2</v>
      </c>
      <c r="G146" s="129">
        <f>(E146-$E$146)/$E$146</f>
        <v>0</v>
      </c>
    </row>
    <row r="147" spans="1:7" x14ac:dyDescent="0.25">
      <c r="A147" s="180" t="s">
        <v>715</v>
      </c>
      <c r="B147">
        <v>131725</v>
      </c>
      <c r="C147" s="129">
        <f t="shared" si="32"/>
        <v>0.16149369544131911</v>
      </c>
      <c r="D147" s="129">
        <f t="shared" ref="D147:D161" si="36">(B147-$B$146)/$B$146</f>
        <v>0.16149369544131911</v>
      </c>
      <c r="E147">
        <v>2696</v>
      </c>
      <c r="F147" s="129">
        <f t="shared" si="33"/>
        <v>1.1139992573338284E-3</v>
      </c>
      <c r="G147" s="129">
        <f t="shared" ref="G147:G161" si="37">(E147-$E$146)/$E$146</f>
        <v>1.1139992573338284E-3</v>
      </c>
    </row>
    <row r="148" spans="1:7" x14ac:dyDescent="0.25">
      <c r="A148" s="180" t="s">
        <v>702</v>
      </c>
      <c r="B148">
        <v>142825</v>
      </c>
      <c r="C148" s="129">
        <f t="shared" si="32"/>
        <v>8.4266464224710569E-2</v>
      </c>
      <c r="D148" s="129">
        <f t="shared" si="36"/>
        <v>0.25936866237545192</v>
      </c>
      <c r="E148">
        <v>2701</v>
      </c>
      <c r="F148" s="129">
        <f t="shared" si="33"/>
        <v>1.85459940652819E-3</v>
      </c>
      <c r="G148" s="129">
        <f t="shared" si="37"/>
        <v>2.9706646862235424E-3</v>
      </c>
    </row>
    <row r="149" spans="1:7" x14ac:dyDescent="0.25">
      <c r="A149" s="180" t="s">
        <v>703</v>
      </c>
      <c r="B149">
        <v>149115</v>
      </c>
      <c r="C149" s="129">
        <f t="shared" si="32"/>
        <v>4.4039908979520391E-2</v>
      </c>
      <c r="D149" s="129">
        <f t="shared" si="36"/>
        <v>0.31483114363812714</v>
      </c>
      <c r="E149">
        <v>2704</v>
      </c>
      <c r="F149" s="129">
        <f t="shared" si="33"/>
        <v>1.1106997408367272E-3</v>
      </c>
      <c r="G149" s="129">
        <f t="shared" si="37"/>
        <v>4.0846639435573708E-3</v>
      </c>
    </row>
    <row r="150" spans="1:7" x14ac:dyDescent="0.25">
      <c r="A150" s="180" t="s">
        <v>704</v>
      </c>
      <c r="B150">
        <v>154000</v>
      </c>
      <c r="C150" s="129">
        <f t="shared" si="32"/>
        <v>3.2759950373872512E-2</v>
      </c>
      <c r="D150" s="129">
        <f t="shared" si="36"/>
        <v>0.35790494665373423</v>
      </c>
      <c r="E150">
        <v>2707</v>
      </c>
      <c r="F150" s="129">
        <f t="shared" si="33"/>
        <v>1.1094674556213018E-3</v>
      </c>
      <c r="G150" s="129">
        <f t="shared" si="37"/>
        <v>5.1986632008911996E-3</v>
      </c>
    </row>
    <row r="151" spans="1:7" x14ac:dyDescent="0.25">
      <c r="A151" s="180" t="s">
        <v>705</v>
      </c>
      <c r="B151">
        <v>155000</v>
      </c>
      <c r="C151" s="129">
        <f t="shared" si="32"/>
        <v>6.4935064935064939E-3</v>
      </c>
      <c r="D151" s="129">
        <f t="shared" si="36"/>
        <v>0.36672251124239486</v>
      </c>
      <c r="E151">
        <v>2713</v>
      </c>
      <c r="F151" s="129">
        <f t="shared" si="33"/>
        <v>2.216475803472479E-3</v>
      </c>
      <c r="G151" s="129">
        <f t="shared" si="37"/>
        <v>7.4266617155588563E-3</v>
      </c>
    </row>
    <row r="152" spans="1:7" x14ac:dyDescent="0.25">
      <c r="A152" s="180" t="s">
        <v>21</v>
      </c>
      <c r="B152">
        <v>155960</v>
      </c>
      <c r="C152" s="129">
        <f t="shared" si="32"/>
        <v>6.193548387096774E-3</v>
      </c>
      <c r="D152" s="129">
        <f t="shared" si="36"/>
        <v>0.37518737324750906</v>
      </c>
      <c r="E152">
        <v>2717</v>
      </c>
      <c r="F152" s="129">
        <f t="shared" si="33"/>
        <v>1.474382602285293E-3</v>
      </c>
      <c r="G152" s="129">
        <f t="shared" si="37"/>
        <v>8.9119940586706269E-3</v>
      </c>
    </row>
    <row r="153" spans="1:7" x14ac:dyDescent="0.25">
      <c r="A153" s="180" t="s">
        <v>22</v>
      </c>
      <c r="B153">
        <v>156330</v>
      </c>
      <c r="C153" s="129">
        <f t="shared" si="32"/>
        <v>2.3724031803026417E-3</v>
      </c>
      <c r="D153" s="129">
        <f t="shared" si="36"/>
        <v>0.37844987214531345</v>
      </c>
      <c r="E153">
        <v>2717</v>
      </c>
      <c r="F153" s="129">
        <f t="shared" si="33"/>
        <v>0</v>
      </c>
      <c r="G153" s="129">
        <f t="shared" si="37"/>
        <v>8.9119940586706269E-3</v>
      </c>
    </row>
    <row r="154" spans="1:7" x14ac:dyDescent="0.25">
      <c r="A154" s="180" t="s">
        <v>23</v>
      </c>
      <c r="B154">
        <v>156700</v>
      </c>
      <c r="C154" s="129">
        <f t="shared" si="32"/>
        <v>2.3667882044393269E-3</v>
      </c>
      <c r="D154" s="129">
        <f t="shared" si="36"/>
        <v>0.38171237104311789</v>
      </c>
      <c r="E154">
        <v>2721</v>
      </c>
      <c r="F154" s="129">
        <f t="shared" si="33"/>
        <v>1.472211998527788E-3</v>
      </c>
      <c r="G154" s="129">
        <f t="shared" si="37"/>
        <v>1.0397326401782399E-2</v>
      </c>
    </row>
    <row r="155" spans="1:7" x14ac:dyDescent="0.25">
      <c r="A155" s="180" t="s">
        <v>17</v>
      </c>
      <c r="B155">
        <v>157070</v>
      </c>
      <c r="C155" s="129">
        <f t="shared" si="32"/>
        <v>2.3611997447351629E-3</v>
      </c>
      <c r="D155" s="129">
        <f t="shared" si="36"/>
        <v>0.38497486994092234</v>
      </c>
      <c r="E155">
        <v>2725</v>
      </c>
      <c r="F155" s="129">
        <f t="shared" si="33"/>
        <v>1.4700477765527381E-3</v>
      </c>
      <c r="G155" s="129">
        <f t="shared" si="37"/>
        <v>1.188265874489417E-2</v>
      </c>
    </row>
    <row r="156" spans="1:7" x14ac:dyDescent="0.25">
      <c r="A156" s="180" t="s">
        <v>18</v>
      </c>
      <c r="B156">
        <v>157255</v>
      </c>
      <c r="C156" s="129">
        <f t="shared" si="32"/>
        <v>1.1778188069013816E-3</v>
      </c>
      <c r="D156" s="129">
        <f t="shared" si="36"/>
        <v>0.38660611938982453</v>
      </c>
      <c r="E156">
        <v>2729</v>
      </c>
      <c r="F156" s="129">
        <f t="shared" si="33"/>
        <v>1.4678899082568807E-3</v>
      </c>
      <c r="G156" s="129">
        <f t="shared" si="37"/>
        <v>1.3367991088005942E-2</v>
      </c>
    </row>
    <row r="157" spans="1:7" x14ac:dyDescent="0.25">
      <c r="A157" s="180" t="s">
        <v>24</v>
      </c>
      <c r="B157">
        <v>157625</v>
      </c>
      <c r="C157" s="129">
        <f t="shared" si="32"/>
        <v>2.3528663635496486E-3</v>
      </c>
      <c r="D157" s="129">
        <f t="shared" si="36"/>
        <v>0.38986861828762898</v>
      </c>
      <c r="E157">
        <v>2733</v>
      </c>
      <c r="F157" s="129">
        <f t="shared" si="33"/>
        <v>1.4657383657017222E-3</v>
      </c>
      <c r="G157" s="129">
        <f t="shared" si="37"/>
        <v>1.4853323431117713E-2</v>
      </c>
    </row>
    <row r="158" spans="1:7" x14ac:dyDescent="0.25">
      <c r="A158" s="180" t="s">
        <v>25</v>
      </c>
      <c r="B158">
        <v>157810</v>
      </c>
      <c r="C158" s="129">
        <f t="shared" si="32"/>
        <v>1.1736716891356067E-3</v>
      </c>
      <c r="D158" s="129">
        <f t="shared" si="36"/>
        <v>0.39149986773653117</v>
      </c>
      <c r="E158">
        <v>2737</v>
      </c>
      <c r="F158" s="129">
        <f t="shared" si="33"/>
        <v>1.4635931211123307E-3</v>
      </c>
      <c r="G158" s="129">
        <f t="shared" si="37"/>
        <v>1.6338655774229483E-2</v>
      </c>
    </row>
    <row r="159" spans="1:7" x14ac:dyDescent="0.25">
      <c r="A159" s="180" t="s">
        <v>26</v>
      </c>
      <c r="B159">
        <v>142455</v>
      </c>
      <c r="C159" s="129">
        <f t="shared" si="32"/>
        <v>-9.7300551295862112E-2</v>
      </c>
      <c r="D159" s="129">
        <f t="shared" si="36"/>
        <v>0.25610616347764747</v>
      </c>
      <c r="E159">
        <v>2739</v>
      </c>
      <c r="F159" s="129">
        <f t="shared" si="33"/>
        <v>7.3072707343807086E-4</v>
      </c>
      <c r="G159" s="129">
        <f t="shared" si="37"/>
        <v>1.708132194578537E-2</v>
      </c>
    </row>
    <row r="160" spans="1:7" x14ac:dyDescent="0.25">
      <c r="A160" s="180" t="s">
        <v>27</v>
      </c>
      <c r="B160">
        <v>134130</v>
      </c>
      <c r="C160" s="129">
        <f t="shared" si="32"/>
        <v>-5.843950721280404E-2</v>
      </c>
      <c r="D160" s="129">
        <f t="shared" si="36"/>
        <v>0.18269993827704789</v>
      </c>
      <c r="E160">
        <v>2739</v>
      </c>
      <c r="F160" s="129">
        <f t="shared" si="33"/>
        <v>0</v>
      </c>
      <c r="G160" s="129">
        <f t="shared" si="37"/>
        <v>1.708132194578537E-2</v>
      </c>
    </row>
    <row r="161" spans="1:7" x14ac:dyDescent="0.25">
      <c r="A161" s="180" t="s">
        <v>28</v>
      </c>
      <c r="B161">
        <v>129505</v>
      </c>
      <c r="C161" s="129">
        <f t="shared" si="32"/>
        <v>-3.4481473197644073E-2</v>
      </c>
      <c r="D161" s="129">
        <f t="shared" si="36"/>
        <v>0.14191870205449256</v>
      </c>
      <c r="E161">
        <v>2741</v>
      </c>
      <c r="F161" s="129">
        <f t="shared" si="33"/>
        <v>7.3019350127783865E-4</v>
      </c>
      <c r="G161" s="129">
        <f t="shared" si="37"/>
        <v>1.7823988117341254E-2</v>
      </c>
    </row>
    <row r="162" spans="1:7" x14ac:dyDescent="0.25">
      <c r="A162" s="180" t="s">
        <v>16</v>
      </c>
      <c r="B162">
        <v>99165</v>
      </c>
      <c r="C162" s="129">
        <f t="shared" si="32"/>
        <v>-0.23427666885448439</v>
      </c>
      <c r="D162" s="129">
        <f>(B162-$B$162)/$B$162</f>
        <v>0</v>
      </c>
      <c r="E162">
        <v>2735</v>
      </c>
      <c r="F162" s="129">
        <f t="shared" si="33"/>
        <v>-2.1889821233126595E-3</v>
      </c>
      <c r="G162" s="129">
        <f>(E162-$E$162)/$E$162</f>
        <v>0</v>
      </c>
    </row>
    <row r="163" spans="1:7" x14ac:dyDescent="0.25">
      <c r="A163" s="180" t="s">
        <v>715</v>
      </c>
      <c r="B163">
        <v>107305</v>
      </c>
      <c r="C163" s="129">
        <f t="shared" si="32"/>
        <v>8.2085413200221849E-2</v>
      </c>
      <c r="D163" s="129">
        <f t="shared" ref="D163:D177" si="38">(B163-$B$162)/$B$162</f>
        <v>8.2085413200221849E-2</v>
      </c>
      <c r="E163">
        <v>2735</v>
      </c>
      <c r="F163" s="129">
        <f t="shared" si="33"/>
        <v>0</v>
      </c>
      <c r="G163" s="129">
        <f t="shared" ref="G163:G177" si="39">(E163-$E$162)/$E$162</f>
        <v>0</v>
      </c>
    </row>
    <row r="164" spans="1:7" x14ac:dyDescent="0.25">
      <c r="A164" s="180" t="s">
        <v>702</v>
      </c>
      <c r="B164">
        <v>112855</v>
      </c>
      <c r="C164" s="129">
        <f t="shared" si="32"/>
        <v>5.1721727785284936E-2</v>
      </c>
      <c r="D164" s="129">
        <f t="shared" si="38"/>
        <v>0.13805274038219129</v>
      </c>
      <c r="E164">
        <v>2737</v>
      </c>
      <c r="F164" s="129">
        <f t="shared" si="33"/>
        <v>7.3126142595978066E-4</v>
      </c>
      <c r="G164" s="129">
        <f t="shared" si="39"/>
        <v>7.3126142595978066E-4</v>
      </c>
    </row>
    <row r="165" spans="1:7" x14ac:dyDescent="0.25">
      <c r="A165" s="180" t="s">
        <v>703</v>
      </c>
      <c r="B165">
        <v>116555</v>
      </c>
      <c r="C165" s="129">
        <f t="shared" si="32"/>
        <v>3.2785432634796864E-2</v>
      </c>
      <c r="D165" s="129">
        <f t="shared" si="38"/>
        <v>0.1753642918368376</v>
      </c>
      <c r="E165">
        <v>2741</v>
      </c>
      <c r="F165" s="129">
        <f t="shared" si="33"/>
        <v>1.4614541468761417E-3</v>
      </c>
      <c r="G165" s="129">
        <f t="shared" si="39"/>
        <v>2.1937842778793418E-3</v>
      </c>
    </row>
    <row r="166" spans="1:7" x14ac:dyDescent="0.25">
      <c r="A166" s="180" t="s">
        <v>704</v>
      </c>
      <c r="B166">
        <v>119145</v>
      </c>
      <c r="C166" s="129">
        <f t="shared" si="32"/>
        <v>2.2221268928831882E-2</v>
      </c>
      <c r="D166" s="129">
        <f t="shared" si="38"/>
        <v>0.20148237785508999</v>
      </c>
      <c r="E166">
        <v>2743</v>
      </c>
      <c r="F166" s="129">
        <f t="shared" si="33"/>
        <v>7.2966070777088653E-4</v>
      </c>
      <c r="G166" s="129">
        <f t="shared" si="39"/>
        <v>2.9250457038391227E-3</v>
      </c>
    </row>
    <row r="167" spans="1:7" x14ac:dyDescent="0.25">
      <c r="A167" s="180" t="s">
        <v>705</v>
      </c>
      <c r="B167">
        <v>120625</v>
      </c>
      <c r="C167" s="129">
        <f t="shared" si="32"/>
        <v>1.2421838935750556E-2</v>
      </c>
      <c r="D167" s="129">
        <f t="shared" si="38"/>
        <v>0.21640699843694852</v>
      </c>
      <c r="E167">
        <v>2747</v>
      </c>
      <c r="F167" s="129">
        <f t="shared" si="33"/>
        <v>1.4582573824279985E-3</v>
      </c>
      <c r="G167" s="129">
        <f t="shared" si="39"/>
        <v>4.3875685557586835E-3</v>
      </c>
    </row>
    <row r="168" spans="1:7" x14ac:dyDescent="0.25">
      <c r="A168" s="180" t="s">
        <v>21</v>
      </c>
      <c r="B168">
        <v>121735</v>
      </c>
      <c r="C168" s="129">
        <f t="shared" si="32"/>
        <v>9.2020725388601045E-3</v>
      </c>
      <c r="D168" s="129">
        <f t="shared" si="38"/>
        <v>0.2276004638733424</v>
      </c>
      <c r="E168">
        <v>2751</v>
      </c>
      <c r="F168" s="129">
        <f t="shared" si="33"/>
        <v>1.4561339643247178E-3</v>
      </c>
      <c r="G168" s="129">
        <f t="shared" si="39"/>
        <v>5.8500914076782453E-3</v>
      </c>
    </row>
    <row r="169" spans="1:7" x14ac:dyDescent="0.25">
      <c r="A169" s="180" t="s">
        <v>22</v>
      </c>
      <c r="B169">
        <v>122290</v>
      </c>
      <c r="C169" s="129">
        <f t="shared" si="32"/>
        <v>4.5590832546104241E-3</v>
      </c>
      <c r="D169" s="129">
        <f t="shared" si="38"/>
        <v>0.23319719659153934</v>
      </c>
      <c r="E169">
        <v>2754</v>
      </c>
      <c r="F169" s="129">
        <f t="shared" si="33"/>
        <v>1.0905125408942203E-3</v>
      </c>
      <c r="G169" s="129">
        <f t="shared" si="39"/>
        <v>6.9469835466179162E-3</v>
      </c>
    </row>
    <row r="170" spans="1:7" x14ac:dyDescent="0.25">
      <c r="A170" s="180" t="s">
        <v>23</v>
      </c>
      <c r="B170">
        <v>122660</v>
      </c>
      <c r="C170" s="129">
        <f t="shared" si="32"/>
        <v>3.0255948973750921E-3</v>
      </c>
      <c r="D170" s="129">
        <f t="shared" si="38"/>
        <v>0.23692835173700399</v>
      </c>
      <c r="E170">
        <v>2758</v>
      </c>
      <c r="F170" s="129">
        <f t="shared" si="33"/>
        <v>1.4524328249818446E-3</v>
      </c>
      <c r="G170" s="129">
        <f t="shared" si="39"/>
        <v>8.4095063985374779E-3</v>
      </c>
    </row>
    <row r="171" spans="1:7" x14ac:dyDescent="0.25">
      <c r="A171" s="180" t="s">
        <v>17</v>
      </c>
      <c r="B171">
        <v>123030</v>
      </c>
      <c r="C171" s="129">
        <f t="shared" si="32"/>
        <v>3.0164682863199088E-3</v>
      </c>
      <c r="D171" s="129">
        <f t="shared" si="38"/>
        <v>0.24065950688246862</v>
      </c>
      <c r="E171">
        <v>2760</v>
      </c>
      <c r="F171" s="129">
        <f t="shared" si="33"/>
        <v>7.2516316171138508E-4</v>
      </c>
      <c r="G171" s="129">
        <f t="shared" si="39"/>
        <v>9.140767824497258E-3</v>
      </c>
    </row>
    <row r="172" spans="1:7" x14ac:dyDescent="0.25">
      <c r="A172" s="180" t="s">
        <v>18</v>
      </c>
      <c r="B172">
        <v>123030</v>
      </c>
      <c r="C172" s="129">
        <f t="shared" si="32"/>
        <v>0</v>
      </c>
      <c r="D172" s="129">
        <f t="shared" si="38"/>
        <v>0.24065950688246862</v>
      </c>
      <c r="E172">
        <v>2762</v>
      </c>
      <c r="F172" s="129">
        <f t="shared" si="33"/>
        <v>7.246376811594203E-4</v>
      </c>
      <c r="G172" s="129">
        <f t="shared" si="39"/>
        <v>9.872029250457038E-3</v>
      </c>
    </row>
    <row r="173" spans="1:7" x14ac:dyDescent="0.25">
      <c r="A173" s="180" t="s">
        <v>24</v>
      </c>
      <c r="B173">
        <v>123215</v>
      </c>
      <c r="C173" s="129">
        <f t="shared" si="32"/>
        <v>1.5036982849711453E-3</v>
      </c>
      <c r="D173" s="129">
        <f t="shared" si="38"/>
        <v>0.24252508445520093</v>
      </c>
      <c r="E173">
        <v>2764</v>
      </c>
      <c r="F173" s="129">
        <f t="shared" si="33"/>
        <v>7.2411296162201298E-4</v>
      </c>
      <c r="G173" s="129">
        <f t="shared" si="39"/>
        <v>1.060329067641682E-2</v>
      </c>
    </row>
    <row r="174" spans="1:7" x14ac:dyDescent="0.25">
      <c r="A174" s="180" t="s">
        <v>25</v>
      </c>
      <c r="B174">
        <v>123399.61395717683</v>
      </c>
      <c r="C174" s="129">
        <f t="shared" si="32"/>
        <v>1.4983074883482448E-3</v>
      </c>
      <c r="D174" s="129">
        <f t="shared" si="38"/>
        <v>0.24438676909370069</v>
      </c>
      <c r="E174">
        <v>2766</v>
      </c>
      <c r="F174" s="129">
        <f t="shared" si="33"/>
        <v>7.2358900144717795E-4</v>
      </c>
      <c r="G174" s="129">
        <f t="shared" si="39"/>
        <v>1.13345521023766E-2</v>
      </c>
    </row>
    <row r="175" spans="1:7" x14ac:dyDescent="0.25">
      <c r="A175" s="180" t="s">
        <v>26</v>
      </c>
      <c r="B175">
        <v>123399.61395717683</v>
      </c>
      <c r="C175" s="129">
        <f t="shared" si="32"/>
        <v>0</v>
      </c>
      <c r="D175" s="129">
        <f t="shared" si="38"/>
        <v>0.24438676909370069</v>
      </c>
      <c r="E175">
        <v>2764</v>
      </c>
      <c r="F175" s="129">
        <f t="shared" si="33"/>
        <v>-7.2306579898770787E-4</v>
      </c>
      <c r="G175" s="129">
        <f t="shared" si="39"/>
        <v>1.060329067641682E-2</v>
      </c>
    </row>
    <row r="176" spans="1:7" x14ac:dyDescent="0.25">
      <c r="A176" s="180" t="s">
        <v>27</v>
      </c>
      <c r="B176">
        <v>123215</v>
      </c>
      <c r="C176" s="129">
        <f t="shared" si="32"/>
        <v>-1.4960659215748865E-3</v>
      </c>
      <c r="D176" s="129">
        <f t="shared" si="38"/>
        <v>0.24252508445520093</v>
      </c>
      <c r="E176">
        <v>2764</v>
      </c>
      <c r="F176" s="129">
        <f t="shared" si="33"/>
        <v>0</v>
      </c>
      <c r="G176" s="129">
        <f t="shared" si="39"/>
        <v>1.060329067641682E-2</v>
      </c>
    </row>
    <row r="177" spans="1:7" x14ac:dyDescent="0.25">
      <c r="A177" s="180" t="s">
        <v>28</v>
      </c>
      <c r="B177">
        <v>122845</v>
      </c>
      <c r="C177" s="129">
        <f t="shared" si="32"/>
        <v>-3.0028811427180134E-3</v>
      </c>
      <c r="D177" s="129">
        <f t="shared" si="38"/>
        <v>0.23879392930973631</v>
      </c>
      <c r="E177">
        <v>2744</v>
      </c>
      <c r="F177" s="129">
        <f t="shared" si="33"/>
        <v>-7.2358900144717797E-3</v>
      </c>
      <c r="G177" s="129">
        <f t="shared" si="39"/>
        <v>3.2906764168190127E-3</v>
      </c>
    </row>
    <row r="178" spans="1:7" x14ac:dyDescent="0.25">
      <c r="A178" s="180" t="s">
        <v>16</v>
      </c>
      <c r="B178">
        <v>114520</v>
      </c>
      <c r="C178" s="129">
        <f t="shared" si="32"/>
        <v>-6.7768325939191659E-2</v>
      </c>
      <c r="D178" s="129">
        <f>(B178-$B$178)/$B$178</f>
        <v>0</v>
      </c>
      <c r="E178">
        <v>2728</v>
      </c>
      <c r="F178" s="129">
        <f t="shared" si="33"/>
        <v>-5.8309037900874635E-3</v>
      </c>
      <c r="G178" s="129">
        <f>(E178-$E$178)/$E$178</f>
        <v>0</v>
      </c>
    </row>
    <row r="179" spans="1:7" x14ac:dyDescent="0.25">
      <c r="A179" s="180" t="s">
        <v>715</v>
      </c>
      <c r="B179">
        <v>132650</v>
      </c>
      <c r="C179" s="129">
        <f t="shared" si="32"/>
        <v>0.15831295843520782</v>
      </c>
      <c r="D179" s="129">
        <f t="shared" ref="D179" si="40">(B179-$B$178)/$B$178</f>
        <v>0.15831295843520782</v>
      </c>
      <c r="E179">
        <v>2720</v>
      </c>
      <c r="F179" s="129">
        <f t="shared" si="33"/>
        <v>-2.9325513196480938E-3</v>
      </c>
      <c r="G179" s="129">
        <f t="shared" ref="G179" si="41">(E179-$E$178)/$E$178</f>
        <v>-2.9325513196480938E-3</v>
      </c>
    </row>
    <row r="180" spans="1:7" x14ac:dyDescent="0.25">
      <c r="A180" s="180" t="s">
        <v>702</v>
      </c>
      <c r="C180" s="129"/>
      <c r="D180" s="129"/>
      <c r="F180" s="129"/>
      <c r="G180" s="129"/>
    </row>
    <row r="181" spans="1:7" x14ac:dyDescent="0.25">
      <c r="A181" s="180" t="s">
        <v>703</v>
      </c>
      <c r="C181" s="129"/>
      <c r="D181" s="129"/>
      <c r="F181" s="129"/>
      <c r="G181" s="129"/>
    </row>
    <row r="182" spans="1:7" x14ac:dyDescent="0.25">
      <c r="A182" s="180" t="s">
        <v>704</v>
      </c>
      <c r="C182" s="129"/>
      <c r="D182" s="129"/>
      <c r="F182" s="129"/>
      <c r="G182" s="129"/>
    </row>
    <row r="183" spans="1:7" x14ac:dyDescent="0.25">
      <c r="A183" s="180" t="s">
        <v>705</v>
      </c>
      <c r="C183" s="129"/>
      <c r="D183" s="129"/>
      <c r="F183" s="129"/>
      <c r="G183" s="129"/>
    </row>
    <row r="184" spans="1:7" x14ac:dyDescent="0.25">
      <c r="A184" s="180" t="s">
        <v>21</v>
      </c>
      <c r="C184" s="129"/>
      <c r="D184" s="129"/>
      <c r="F184" s="129"/>
      <c r="G184" s="129"/>
    </row>
    <row r="185" spans="1:7" x14ac:dyDescent="0.25">
      <c r="A185" s="180" t="s">
        <v>22</v>
      </c>
      <c r="C185" s="129"/>
      <c r="D185" s="129"/>
      <c r="F185" s="129"/>
      <c r="G185" s="129"/>
    </row>
    <row r="186" spans="1:7" x14ac:dyDescent="0.25">
      <c r="A186" s="180" t="s">
        <v>23</v>
      </c>
      <c r="C186" s="129"/>
      <c r="D186" s="129"/>
      <c r="F186" s="129"/>
      <c r="G186" s="129"/>
    </row>
    <row r="187" spans="1:7" x14ac:dyDescent="0.25">
      <c r="A187" s="180" t="s">
        <v>17</v>
      </c>
      <c r="C187" s="129"/>
      <c r="D187" s="129"/>
      <c r="F187" s="129"/>
      <c r="G187" s="129"/>
    </row>
    <row r="188" spans="1:7" x14ac:dyDescent="0.25">
      <c r="A188" s="180" t="s">
        <v>18</v>
      </c>
      <c r="C188" s="129"/>
      <c r="D188" s="129"/>
      <c r="F188" s="129"/>
      <c r="G188" s="129"/>
    </row>
    <row r="189" spans="1:7" x14ac:dyDescent="0.25">
      <c r="A189" s="180" t="s">
        <v>24</v>
      </c>
      <c r="C189" s="129"/>
      <c r="D189" s="129"/>
      <c r="F189" s="129"/>
      <c r="G189" s="129"/>
    </row>
    <row r="190" spans="1:7" x14ac:dyDescent="0.25">
      <c r="A190" s="180" t="s">
        <v>25</v>
      </c>
      <c r="C190" s="129"/>
      <c r="D190" s="129"/>
      <c r="F190" s="129"/>
      <c r="G190" s="129"/>
    </row>
    <row r="191" spans="1:7" x14ac:dyDescent="0.25">
      <c r="A191" s="180" t="s">
        <v>26</v>
      </c>
      <c r="C191" s="129"/>
      <c r="D191" s="129"/>
      <c r="F191" s="129"/>
      <c r="G191" s="129"/>
    </row>
    <row r="192" spans="1:7" x14ac:dyDescent="0.25">
      <c r="A192" s="180" t="s">
        <v>27</v>
      </c>
      <c r="C192" s="129"/>
      <c r="D192" s="129"/>
      <c r="F192" s="129"/>
      <c r="G192" s="129"/>
    </row>
    <row r="193" spans="1:7" x14ac:dyDescent="0.25">
      <c r="A193" s="180" t="s">
        <v>28</v>
      </c>
      <c r="C193" s="129"/>
      <c r="D193" s="129"/>
      <c r="F193" s="129"/>
      <c r="G193" s="129"/>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CI44"/>
  <sheetViews>
    <sheetView zoomScale="80" zoomScaleNormal="80" workbookViewId="0">
      <selection activeCell="A47" sqref="A47"/>
    </sheetView>
  </sheetViews>
  <sheetFormatPr baseColWidth="10" defaultColWidth="11.42578125" defaultRowHeight="15" x14ac:dyDescent="0.25"/>
  <cols>
    <col min="1" max="1" width="15.140625" style="5" bestFit="1" customWidth="1"/>
    <col min="2" max="2" width="10.7109375" style="5" bestFit="1" customWidth="1"/>
    <col min="3" max="3" width="10.85546875" style="505" bestFit="1" customWidth="1"/>
    <col min="4" max="4" width="12.5703125" style="505" bestFit="1" customWidth="1"/>
    <col min="5" max="5" width="11.5703125" style="505" bestFit="1" customWidth="1"/>
    <col min="6" max="6" width="11.42578125" style="5" bestFit="1" customWidth="1"/>
    <col min="7" max="8" width="11.42578125" style="5" customWidth="1"/>
    <col min="9" max="9" width="4.5703125" style="5" customWidth="1"/>
    <col min="10" max="10" width="32.140625" style="5" bestFit="1" customWidth="1"/>
    <col min="11" max="18" width="12.5703125" style="5" bestFit="1" customWidth="1"/>
    <col min="19" max="22" width="11.140625" style="5" bestFit="1" customWidth="1"/>
    <col min="23" max="27" width="10.85546875" style="5" bestFit="1" customWidth="1"/>
    <col min="28" max="39" width="12.28515625" style="5" bestFit="1" customWidth="1"/>
    <col min="40" max="40" width="12.5703125" style="5" bestFit="1" customWidth="1"/>
    <col min="41" max="41" width="12.28515625" style="5" bestFit="1" customWidth="1"/>
    <col min="42" max="42" width="12.5703125" style="5" bestFit="1" customWidth="1"/>
    <col min="43" max="43" width="12.28515625" style="5" bestFit="1" customWidth="1"/>
    <col min="44" max="46" width="12.5703125" style="5" bestFit="1" customWidth="1"/>
    <col min="47" max="47" width="11.140625" style="5" bestFit="1" customWidth="1"/>
    <col min="48" max="63" width="12.5703125" style="5" bestFit="1" customWidth="1"/>
    <col min="64" max="87" width="14" style="5" bestFit="1" customWidth="1"/>
    <col min="88" max="16384" width="11.42578125" style="5"/>
  </cols>
  <sheetData>
    <row r="1" spans="1:87" x14ac:dyDescent="0.25">
      <c r="K1" s="505">
        <v>1</v>
      </c>
      <c r="L1" s="505">
        <v>2</v>
      </c>
      <c r="M1" s="505">
        <v>3</v>
      </c>
      <c r="N1" s="505">
        <v>4</v>
      </c>
      <c r="O1" s="505">
        <v>5</v>
      </c>
      <c r="P1" s="505">
        <v>6</v>
      </c>
      <c r="Q1" s="505">
        <v>7</v>
      </c>
      <c r="R1" s="505">
        <v>8</v>
      </c>
      <c r="S1" s="505">
        <v>9</v>
      </c>
      <c r="T1" s="505">
        <v>10</v>
      </c>
      <c r="U1" s="505">
        <v>11</v>
      </c>
      <c r="V1" s="505">
        <v>12</v>
      </c>
      <c r="W1" s="505">
        <v>13</v>
      </c>
      <c r="X1" s="505">
        <v>14</v>
      </c>
      <c r="Y1" s="505">
        <v>15</v>
      </c>
      <c r="Z1" s="505">
        <v>16</v>
      </c>
      <c r="AA1" s="505">
        <v>17</v>
      </c>
      <c r="AB1" s="505">
        <v>18</v>
      </c>
      <c r="AC1" s="505">
        <v>19</v>
      </c>
      <c r="AD1" s="505">
        <v>20</v>
      </c>
      <c r="AE1" s="505">
        <v>21</v>
      </c>
      <c r="AF1" s="505">
        <v>22</v>
      </c>
      <c r="AG1" s="505">
        <v>23</v>
      </c>
      <c r="AH1" s="505">
        <v>24</v>
      </c>
      <c r="AI1" s="505">
        <v>25</v>
      </c>
      <c r="AJ1" s="505">
        <v>26</v>
      </c>
      <c r="AK1" s="505">
        <v>27</v>
      </c>
      <c r="AL1" s="505">
        <v>28</v>
      </c>
      <c r="AM1" s="505">
        <v>29</v>
      </c>
      <c r="AN1" s="505">
        <v>30</v>
      </c>
      <c r="AO1" s="505">
        <v>31</v>
      </c>
      <c r="AP1" s="505">
        <v>32</v>
      </c>
      <c r="AQ1" s="505">
        <v>33</v>
      </c>
      <c r="AR1" s="505">
        <v>34</v>
      </c>
      <c r="AS1" s="505">
        <v>35</v>
      </c>
      <c r="AT1" s="505">
        <v>36</v>
      </c>
      <c r="AU1" s="505">
        <v>37</v>
      </c>
      <c r="AV1" s="505">
        <v>38</v>
      </c>
      <c r="AW1" s="505">
        <v>39</v>
      </c>
      <c r="AX1" s="505">
        <v>40</v>
      </c>
      <c r="AY1" s="505">
        <v>41</v>
      </c>
      <c r="AZ1" s="505">
        <v>42</v>
      </c>
      <c r="BA1" s="505">
        <v>43</v>
      </c>
      <c r="BB1" s="505">
        <v>44</v>
      </c>
      <c r="BC1" s="505">
        <v>45</v>
      </c>
      <c r="BD1" s="505">
        <v>46</v>
      </c>
      <c r="BE1" s="505">
        <v>47</v>
      </c>
      <c r="BF1" s="505">
        <v>48</v>
      </c>
      <c r="BG1" s="505">
        <v>49</v>
      </c>
      <c r="BH1" s="505">
        <v>50</v>
      </c>
      <c r="BI1" s="505">
        <v>51</v>
      </c>
      <c r="BJ1" s="505">
        <v>52</v>
      </c>
      <c r="BK1" s="505">
        <v>53</v>
      </c>
      <c r="BL1" s="505">
        <v>54</v>
      </c>
      <c r="BM1" s="505">
        <v>55</v>
      </c>
      <c r="BN1" s="505">
        <v>56</v>
      </c>
      <c r="BO1" s="505">
        <v>57</v>
      </c>
      <c r="BP1" s="505">
        <v>58</v>
      </c>
      <c r="BQ1" s="505">
        <v>59</v>
      </c>
      <c r="BR1" s="505">
        <v>60</v>
      </c>
      <c r="BS1" s="505">
        <v>61</v>
      </c>
      <c r="BT1" s="505">
        <v>62</v>
      </c>
      <c r="BU1" s="505">
        <v>63</v>
      </c>
      <c r="BV1" s="505">
        <v>64</v>
      </c>
      <c r="BW1" s="505">
        <v>65</v>
      </c>
      <c r="BX1" s="505">
        <v>66</v>
      </c>
      <c r="BY1" s="505">
        <v>67</v>
      </c>
      <c r="BZ1" s="505">
        <v>68</v>
      </c>
      <c r="CA1" s="505">
        <v>69</v>
      </c>
      <c r="CB1" s="505">
        <v>70</v>
      </c>
      <c r="CC1" s="505">
        <v>71</v>
      </c>
      <c r="CD1" s="505">
        <v>72</v>
      </c>
      <c r="CE1" s="505">
        <v>73</v>
      </c>
      <c r="CF1" s="505">
        <v>74</v>
      </c>
      <c r="CG1" s="505">
        <v>75</v>
      </c>
      <c r="CH1" s="505">
        <v>76</v>
      </c>
      <c r="CI1" s="505">
        <v>77</v>
      </c>
    </row>
    <row r="2" spans="1:87" x14ac:dyDescent="0.25">
      <c r="K2" s="128" t="s">
        <v>703</v>
      </c>
      <c r="L2" s="128" t="s">
        <v>704</v>
      </c>
      <c r="M2" s="128" t="s">
        <v>705</v>
      </c>
      <c r="N2" s="128" t="s">
        <v>21</v>
      </c>
      <c r="O2" s="128" t="s">
        <v>22</v>
      </c>
      <c r="P2" s="128" t="s">
        <v>23</v>
      </c>
      <c r="Q2" s="128" t="s">
        <v>17</v>
      </c>
      <c r="R2" s="128" t="s">
        <v>18</v>
      </c>
      <c r="S2" s="128" t="s">
        <v>24</v>
      </c>
      <c r="T2" s="128" t="s">
        <v>25</v>
      </c>
      <c r="U2" s="128" t="s">
        <v>26</v>
      </c>
      <c r="V2" s="128" t="s">
        <v>27</v>
      </c>
      <c r="W2" s="128" t="s">
        <v>28</v>
      </c>
      <c r="X2" s="128" t="s">
        <v>16</v>
      </c>
      <c r="Y2" s="128" t="s">
        <v>715</v>
      </c>
      <c r="Z2" s="128" t="s">
        <v>702</v>
      </c>
      <c r="AA2" s="128" t="s">
        <v>703</v>
      </c>
      <c r="AB2" s="128" t="s">
        <v>704</v>
      </c>
      <c r="AC2" s="128" t="s">
        <v>705</v>
      </c>
      <c r="AD2" s="128" t="s">
        <v>21</v>
      </c>
      <c r="AE2" s="128" t="s">
        <v>22</v>
      </c>
      <c r="AF2" s="128" t="s">
        <v>23</v>
      </c>
      <c r="AG2" s="128" t="s">
        <v>17</v>
      </c>
      <c r="AH2" s="128" t="s">
        <v>18</v>
      </c>
      <c r="AI2" s="128" t="s">
        <v>24</v>
      </c>
      <c r="AJ2" s="128" t="s">
        <v>25</v>
      </c>
      <c r="AK2" s="128" t="s">
        <v>26</v>
      </c>
      <c r="AL2" s="128" t="s">
        <v>27</v>
      </c>
      <c r="AM2" s="128" t="s">
        <v>28</v>
      </c>
      <c r="AN2" s="128" t="s">
        <v>16</v>
      </c>
      <c r="AO2" s="128" t="s">
        <v>715</v>
      </c>
      <c r="AP2" s="128" t="s">
        <v>702</v>
      </c>
      <c r="AQ2" s="128" t="s">
        <v>703</v>
      </c>
      <c r="AR2" s="128" t="s">
        <v>704</v>
      </c>
      <c r="AS2" s="128" t="s">
        <v>705</v>
      </c>
      <c r="AT2" s="128" t="s">
        <v>21</v>
      </c>
      <c r="AU2" s="128" t="s">
        <v>22</v>
      </c>
      <c r="AV2" s="128" t="s">
        <v>23</v>
      </c>
      <c r="AW2" s="128" t="s">
        <v>17</v>
      </c>
      <c r="AX2" s="128" t="s">
        <v>18</v>
      </c>
      <c r="AY2" s="128" t="s">
        <v>24</v>
      </c>
      <c r="AZ2" s="128" t="s">
        <v>25</v>
      </c>
      <c r="BA2" s="128" t="s">
        <v>26</v>
      </c>
      <c r="BB2" s="128" t="s">
        <v>27</v>
      </c>
      <c r="BC2" s="128" t="s">
        <v>28</v>
      </c>
      <c r="BD2" s="128" t="s">
        <v>16</v>
      </c>
      <c r="BE2" s="128" t="s">
        <v>715</v>
      </c>
      <c r="BF2" s="128" t="s">
        <v>702</v>
      </c>
      <c r="BG2" s="128" t="s">
        <v>703</v>
      </c>
      <c r="BH2" s="128" t="s">
        <v>704</v>
      </c>
      <c r="BI2" s="128" t="s">
        <v>705</v>
      </c>
      <c r="BJ2" s="128" t="s">
        <v>21</v>
      </c>
      <c r="BK2" s="128" t="s">
        <v>22</v>
      </c>
      <c r="BL2" s="128" t="s">
        <v>23</v>
      </c>
      <c r="BM2" s="128" t="s">
        <v>17</v>
      </c>
      <c r="BN2" s="128" t="s">
        <v>18</v>
      </c>
      <c r="BO2" s="128" t="s">
        <v>24</v>
      </c>
      <c r="BP2" s="128" t="s">
        <v>25</v>
      </c>
      <c r="BQ2" s="128" t="s">
        <v>26</v>
      </c>
      <c r="BR2" s="128" t="s">
        <v>27</v>
      </c>
      <c r="BS2" s="128" t="s">
        <v>28</v>
      </c>
      <c r="BT2" s="128" t="s">
        <v>16</v>
      </c>
      <c r="BU2" s="128" t="s">
        <v>715</v>
      </c>
      <c r="BV2" s="128" t="s">
        <v>702</v>
      </c>
      <c r="BW2" s="128" t="s">
        <v>703</v>
      </c>
      <c r="BX2" s="128" t="s">
        <v>704</v>
      </c>
      <c r="BY2" s="128" t="s">
        <v>705</v>
      </c>
      <c r="BZ2" s="128" t="s">
        <v>21</v>
      </c>
      <c r="CA2" s="128" t="s">
        <v>22</v>
      </c>
      <c r="CB2" s="128" t="s">
        <v>23</v>
      </c>
      <c r="CC2" s="128" t="s">
        <v>17</v>
      </c>
      <c r="CD2" s="128" t="s">
        <v>18</v>
      </c>
      <c r="CE2" s="128" t="s">
        <v>24</v>
      </c>
      <c r="CF2" s="128" t="s">
        <v>25</v>
      </c>
      <c r="CG2" s="128" t="s">
        <v>26</v>
      </c>
      <c r="CH2" s="128" t="s">
        <v>27</v>
      </c>
      <c r="CI2" s="128" t="s">
        <v>28</v>
      </c>
    </row>
    <row r="3" spans="1:87" x14ac:dyDescent="0.25">
      <c r="J3" s="662" t="s">
        <v>2448</v>
      </c>
      <c r="K3" s="663">
        <v>1</v>
      </c>
      <c r="L3" s="663">
        <v>0</v>
      </c>
      <c r="M3" s="663">
        <v>1</v>
      </c>
      <c r="N3" s="663">
        <v>0</v>
      </c>
      <c r="O3" s="663">
        <v>1</v>
      </c>
      <c r="P3" s="663">
        <v>0</v>
      </c>
      <c r="Q3" s="663">
        <v>1</v>
      </c>
      <c r="R3" s="663">
        <v>0</v>
      </c>
      <c r="S3" s="663">
        <v>1</v>
      </c>
      <c r="T3" s="663">
        <v>0</v>
      </c>
      <c r="U3" s="663">
        <v>1</v>
      </c>
      <c r="V3" s="663">
        <v>0</v>
      </c>
      <c r="W3" s="663">
        <v>0</v>
      </c>
      <c r="X3" s="663">
        <v>0</v>
      </c>
      <c r="Y3" s="663">
        <v>1</v>
      </c>
      <c r="Z3" s="663">
        <v>0</v>
      </c>
      <c r="AA3" s="663">
        <v>1</v>
      </c>
      <c r="AB3" s="663">
        <v>0</v>
      </c>
      <c r="AC3" s="663">
        <v>1</v>
      </c>
      <c r="AD3" s="663">
        <v>0</v>
      </c>
      <c r="AE3" s="663">
        <v>1</v>
      </c>
      <c r="AF3" s="663">
        <v>0</v>
      </c>
      <c r="AG3" s="663">
        <v>1</v>
      </c>
      <c r="AH3" s="663">
        <v>0</v>
      </c>
      <c r="AI3" s="663">
        <v>1</v>
      </c>
      <c r="AJ3" s="663">
        <v>0</v>
      </c>
      <c r="AK3" s="663">
        <v>1</v>
      </c>
      <c r="AL3" s="663">
        <v>0</v>
      </c>
      <c r="AM3" s="663">
        <v>0</v>
      </c>
      <c r="AN3" s="663">
        <v>1</v>
      </c>
      <c r="AO3" s="663">
        <v>0</v>
      </c>
      <c r="AP3" s="663">
        <v>1</v>
      </c>
      <c r="AQ3" s="663">
        <v>0</v>
      </c>
      <c r="AR3" s="663">
        <v>1</v>
      </c>
      <c r="AS3" s="663">
        <v>0</v>
      </c>
      <c r="AT3" s="663">
        <v>1</v>
      </c>
      <c r="AU3" s="663">
        <v>0</v>
      </c>
      <c r="AV3" s="663">
        <v>1</v>
      </c>
      <c r="AW3" s="663">
        <v>0</v>
      </c>
      <c r="AX3" s="663">
        <v>1</v>
      </c>
      <c r="AY3" s="663">
        <v>0</v>
      </c>
      <c r="AZ3" s="663">
        <v>1</v>
      </c>
      <c r="BA3" s="663">
        <v>0</v>
      </c>
      <c r="BB3" s="663">
        <v>0</v>
      </c>
      <c r="BC3" s="663">
        <v>0</v>
      </c>
      <c r="BD3" s="663">
        <v>1</v>
      </c>
      <c r="BE3" s="663">
        <v>0</v>
      </c>
      <c r="BF3" s="663">
        <v>1</v>
      </c>
      <c r="BG3" s="663">
        <v>0</v>
      </c>
      <c r="BH3" s="663">
        <v>1</v>
      </c>
      <c r="BI3" s="663">
        <v>0</v>
      </c>
      <c r="BJ3" s="663">
        <v>1</v>
      </c>
      <c r="BK3" s="663">
        <v>0</v>
      </c>
      <c r="BL3" s="663">
        <v>1</v>
      </c>
      <c r="BM3" s="663">
        <v>0</v>
      </c>
      <c r="BN3" s="663">
        <v>1</v>
      </c>
      <c r="BO3" s="663">
        <v>0</v>
      </c>
      <c r="BP3" s="663">
        <v>1</v>
      </c>
      <c r="BQ3" s="663">
        <v>0</v>
      </c>
      <c r="BR3" s="663">
        <v>0</v>
      </c>
      <c r="BS3" s="663">
        <v>0</v>
      </c>
      <c r="BT3" s="663">
        <v>1</v>
      </c>
      <c r="BU3" s="663">
        <v>0</v>
      </c>
      <c r="BV3" s="663">
        <v>1</v>
      </c>
      <c r="BW3" s="663">
        <v>0</v>
      </c>
      <c r="BX3" s="663">
        <v>1</v>
      </c>
      <c r="BY3" s="663">
        <v>0</v>
      </c>
      <c r="BZ3" s="663">
        <v>1</v>
      </c>
      <c r="CA3" s="663">
        <v>0</v>
      </c>
      <c r="CB3" s="663">
        <v>1</v>
      </c>
      <c r="CC3" s="663">
        <v>0</v>
      </c>
      <c r="CD3" s="663">
        <v>1</v>
      </c>
      <c r="CE3" s="663">
        <v>0</v>
      </c>
      <c r="CF3" s="663">
        <v>1</v>
      </c>
      <c r="CG3" s="663">
        <v>0</v>
      </c>
      <c r="CH3" s="663">
        <v>0</v>
      </c>
      <c r="CI3" s="663">
        <v>0</v>
      </c>
    </row>
    <row r="4" spans="1:87" x14ac:dyDescent="0.25">
      <c r="A4" s="644" t="s">
        <v>31</v>
      </c>
      <c r="B4" s="645">
        <f>B5+B6+B7+B8</f>
        <v>60965</v>
      </c>
      <c r="C4" s="647" t="s">
        <v>2438</v>
      </c>
      <c r="D4" s="647" t="s">
        <v>2439</v>
      </c>
      <c r="E4" s="648" t="s">
        <v>1328</v>
      </c>
      <c r="F4" s="647" t="s">
        <v>2440</v>
      </c>
      <c r="G4" s="647" t="s">
        <v>2450</v>
      </c>
      <c r="H4" s="647" t="s">
        <v>2460</v>
      </c>
      <c r="J4" s="662" t="s">
        <v>2449</v>
      </c>
      <c r="K4" s="663">
        <v>0</v>
      </c>
      <c r="L4" s="663">
        <v>0</v>
      </c>
      <c r="M4" s="663">
        <v>0</v>
      </c>
      <c r="N4" s="663">
        <v>0</v>
      </c>
      <c r="O4" s="663">
        <v>0</v>
      </c>
      <c r="P4" s="663">
        <v>0</v>
      </c>
      <c r="Q4" s="663">
        <v>0</v>
      </c>
      <c r="R4" s="663">
        <v>0</v>
      </c>
      <c r="S4" s="663">
        <v>0</v>
      </c>
      <c r="T4" s="663">
        <v>0</v>
      </c>
      <c r="U4" s="663">
        <v>0</v>
      </c>
      <c r="V4" s="663">
        <v>0</v>
      </c>
      <c r="W4" s="663">
        <v>0</v>
      </c>
      <c r="X4" s="663">
        <v>0</v>
      </c>
      <c r="Y4" s="663">
        <v>0</v>
      </c>
      <c r="Z4" s="663">
        <v>0</v>
      </c>
      <c r="AA4" s="663">
        <v>0</v>
      </c>
      <c r="AB4" s="663">
        <v>0</v>
      </c>
      <c r="AC4" s="663">
        <v>0</v>
      </c>
      <c r="AD4" s="663">
        <v>0</v>
      </c>
      <c r="AE4" s="663">
        <v>0</v>
      </c>
      <c r="AF4" s="663">
        <v>0</v>
      </c>
      <c r="AG4" s="663">
        <v>0</v>
      </c>
      <c r="AH4" s="663">
        <v>0</v>
      </c>
      <c r="AI4" s="663">
        <v>0</v>
      </c>
      <c r="AJ4" s="663">
        <v>0</v>
      </c>
      <c r="AK4" s="663">
        <v>0</v>
      </c>
      <c r="AL4" s="663">
        <v>0</v>
      </c>
      <c r="AM4" s="663">
        <v>0</v>
      </c>
      <c r="AN4" s="663">
        <v>0</v>
      </c>
      <c r="AO4" s="663">
        <v>0</v>
      </c>
      <c r="AP4" s="663">
        <v>0</v>
      </c>
      <c r="AQ4" s="663">
        <v>0</v>
      </c>
      <c r="AR4" s="663">
        <v>0</v>
      </c>
      <c r="AS4" s="663">
        <v>0</v>
      </c>
      <c r="AT4" s="663">
        <v>0</v>
      </c>
      <c r="AU4" s="663">
        <v>0</v>
      </c>
      <c r="AV4" s="663">
        <v>0</v>
      </c>
      <c r="AW4" s="663">
        <v>0</v>
      </c>
      <c r="AX4" s="663">
        <v>0</v>
      </c>
      <c r="AY4" s="663">
        <v>0</v>
      </c>
      <c r="AZ4" s="663">
        <v>0</v>
      </c>
      <c r="BA4" s="663">
        <v>0</v>
      </c>
      <c r="BB4" s="663">
        <v>0</v>
      </c>
      <c r="BC4" s="663">
        <v>0</v>
      </c>
      <c r="BD4" s="663">
        <v>0</v>
      </c>
      <c r="BE4" s="663">
        <v>0</v>
      </c>
      <c r="BF4" s="663">
        <v>0</v>
      </c>
      <c r="BG4" s="663">
        <v>0</v>
      </c>
      <c r="BH4" s="663">
        <v>0</v>
      </c>
      <c r="BI4" s="663">
        <v>0</v>
      </c>
      <c r="BJ4" s="663">
        <v>0</v>
      </c>
      <c r="BK4" s="663">
        <v>0</v>
      </c>
      <c r="BL4" s="663">
        <v>0</v>
      </c>
      <c r="BM4" s="663">
        <v>0</v>
      </c>
      <c r="BN4" s="663">
        <v>0</v>
      </c>
      <c r="BO4" s="663">
        <v>0</v>
      </c>
      <c r="BP4" s="663">
        <v>0</v>
      </c>
      <c r="BQ4" s="663">
        <v>0</v>
      </c>
      <c r="BR4" s="663">
        <v>0</v>
      </c>
      <c r="BS4" s="663">
        <v>0</v>
      </c>
      <c r="BT4" s="663">
        <v>0</v>
      </c>
      <c r="BU4" s="663">
        <v>0</v>
      </c>
      <c r="BV4" s="663">
        <v>0</v>
      </c>
      <c r="BW4" s="663">
        <v>0</v>
      </c>
      <c r="BX4" s="663">
        <v>0</v>
      </c>
      <c r="BY4" s="663">
        <v>0</v>
      </c>
      <c r="BZ4" s="663">
        <v>0</v>
      </c>
      <c r="CA4" s="663">
        <v>0</v>
      </c>
      <c r="CB4" s="663">
        <v>0</v>
      </c>
      <c r="CC4" s="663">
        <v>0</v>
      </c>
      <c r="CD4" s="663">
        <v>0</v>
      </c>
      <c r="CE4" s="663">
        <v>0</v>
      </c>
      <c r="CF4" s="663">
        <v>0</v>
      </c>
      <c r="CG4" s="663">
        <v>0</v>
      </c>
      <c r="CH4" s="663">
        <v>0</v>
      </c>
      <c r="CI4" s="663">
        <v>0</v>
      </c>
    </row>
    <row r="5" spans="1:87" x14ac:dyDescent="0.25">
      <c r="A5" s="644" t="s">
        <v>32</v>
      </c>
      <c r="B5" s="646">
        <v>34888</v>
      </c>
      <c r="C5" s="375">
        <v>0.5</v>
      </c>
      <c r="D5" s="375">
        <v>45</v>
      </c>
      <c r="E5" s="375">
        <v>7</v>
      </c>
      <c r="F5" s="375">
        <v>6</v>
      </c>
      <c r="G5" s="375">
        <f>C5*B5</f>
        <v>17444</v>
      </c>
      <c r="H5" s="375">
        <f>B5*E5</f>
        <v>244216</v>
      </c>
      <c r="J5" s="655" t="s">
        <v>694</v>
      </c>
      <c r="K5" s="655">
        <v>2185</v>
      </c>
      <c r="L5" s="655">
        <f>K5+6</f>
        <v>2191</v>
      </c>
      <c r="M5" s="655">
        <f t="shared" ref="M5:W5" si="0">L5+6</f>
        <v>2197</v>
      </c>
      <c r="N5" s="655">
        <f t="shared" si="0"/>
        <v>2203</v>
      </c>
      <c r="O5" s="655">
        <f t="shared" si="0"/>
        <v>2209</v>
      </c>
      <c r="P5" s="655">
        <f t="shared" si="0"/>
        <v>2215</v>
      </c>
      <c r="Q5" s="655">
        <f t="shared" si="0"/>
        <v>2221</v>
      </c>
      <c r="R5" s="655">
        <f t="shared" si="0"/>
        <v>2227</v>
      </c>
      <c r="S5" s="655">
        <f t="shared" si="0"/>
        <v>2233</v>
      </c>
      <c r="T5" s="655">
        <f t="shared" si="0"/>
        <v>2239</v>
      </c>
      <c r="U5" s="655">
        <f t="shared" si="0"/>
        <v>2245</v>
      </c>
      <c r="V5" s="655">
        <f t="shared" si="0"/>
        <v>2251</v>
      </c>
      <c r="W5" s="655">
        <f t="shared" si="0"/>
        <v>2257</v>
      </c>
      <c r="X5" s="655">
        <f>W5+4</f>
        <v>2261</v>
      </c>
      <c r="Y5" s="655">
        <f t="shared" ref="Y5:AM5" si="1">X5+4</f>
        <v>2265</v>
      </c>
      <c r="Z5" s="655">
        <f t="shared" si="1"/>
        <v>2269</v>
      </c>
      <c r="AA5" s="655">
        <f t="shared" si="1"/>
        <v>2273</v>
      </c>
      <c r="AB5" s="655">
        <f t="shared" si="1"/>
        <v>2277</v>
      </c>
      <c r="AC5" s="655">
        <f t="shared" si="1"/>
        <v>2281</v>
      </c>
      <c r="AD5" s="655">
        <f t="shared" si="1"/>
        <v>2285</v>
      </c>
      <c r="AE5" s="655">
        <f t="shared" si="1"/>
        <v>2289</v>
      </c>
      <c r="AF5" s="655">
        <f t="shared" si="1"/>
        <v>2293</v>
      </c>
      <c r="AG5" s="655">
        <f t="shared" si="1"/>
        <v>2297</v>
      </c>
      <c r="AH5" s="655">
        <f t="shared" si="1"/>
        <v>2301</v>
      </c>
      <c r="AI5" s="655">
        <f t="shared" si="1"/>
        <v>2305</v>
      </c>
      <c r="AJ5" s="655">
        <f t="shared" si="1"/>
        <v>2309</v>
      </c>
      <c r="AK5" s="655">
        <f t="shared" si="1"/>
        <v>2313</v>
      </c>
      <c r="AL5" s="655">
        <f t="shared" si="1"/>
        <v>2317</v>
      </c>
      <c r="AM5" s="655">
        <f t="shared" si="1"/>
        <v>2321</v>
      </c>
      <c r="AN5" s="664">
        <f>AM5*1.1</f>
        <v>2553.1000000000004</v>
      </c>
      <c r="AO5" s="686">
        <f>AN5+4</f>
        <v>2557.1000000000004</v>
      </c>
      <c r="AP5" s="686">
        <f t="shared" ref="AP5:BS5" si="2">AO5+4</f>
        <v>2561.1000000000004</v>
      </c>
      <c r="AQ5" s="686">
        <f t="shared" si="2"/>
        <v>2565.1000000000004</v>
      </c>
      <c r="AR5" s="686">
        <f t="shared" si="2"/>
        <v>2569.1000000000004</v>
      </c>
      <c r="AS5" s="686">
        <f t="shared" si="2"/>
        <v>2573.1000000000004</v>
      </c>
      <c r="AT5" s="686">
        <f t="shared" si="2"/>
        <v>2577.1000000000004</v>
      </c>
      <c r="AU5" s="686">
        <f t="shared" si="2"/>
        <v>2581.1000000000004</v>
      </c>
      <c r="AV5" s="686">
        <f t="shared" si="2"/>
        <v>2585.1000000000004</v>
      </c>
      <c r="AW5" s="686">
        <f t="shared" si="2"/>
        <v>2589.1000000000004</v>
      </c>
      <c r="AX5" s="686">
        <f t="shared" si="2"/>
        <v>2593.1000000000004</v>
      </c>
      <c r="AY5" s="686">
        <f t="shared" si="2"/>
        <v>2597.1000000000004</v>
      </c>
      <c r="AZ5" s="686">
        <f t="shared" si="2"/>
        <v>2601.1000000000004</v>
      </c>
      <c r="BA5" s="686">
        <f t="shared" si="2"/>
        <v>2605.1000000000004</v>
      </c>
      <c r="BB5" s="686">
        <f t="shared" si="2"/>
        <v>2609.1000000000004</v>
      </c>
      <c r="BC5" s="686">
        <f t="shared" si="2"/>
        <v>2613.1000000000004</v>
      </c>
      <c r="BD5" s="686">
        <f t="shared" si="2"/>
        <v>2617.1000000000004</v>
      </c>
      <c r="BE5" s="686">
        <f t="shared" si="2"/>
        <v>2621.1000000000004</v>
      </c>
      <c r="BF5" s="686">
        <f t="shared" si="2"/>
        <v>2625.1000000000004</v>
      </c>
      <c r="BG5" s="686">
        <f t="shared" si="2"/>
        <v>2629.1000000000004</v>
      </c>
      <c r="BH5" s="686">
        <f t="shared" si="2"/>
        <v>2633.1000000000004</v>
      </c>
      <c r="BI5" s="686">
        <f t="shared" si="2"/>
        <v>2637.1000000000004</v>
      </c>
      <c r="BJ5" s="686">
        <f t="shared" si="2"/>
        <v>2641.1000000000004</v>
      </c>
      <c r="BK5" s="686">
        <f t="shared" si="2"/>
        <v>2645.1000000000004</v>
      </c>
      <c r="BL5" s="686">
        <f t="shared" si="2"/>
        <v>2649.1000000000004</v>
      </c>
      <c r="BM5" s="686">
        <f t="shared" si="2"/>
        <v>2653.1000000000004</v>
      </c>
      <c r="BN5" s="686">
        <f t="shared" si="2"/>
        <v>2657.1000000000004</v>
      </c>
      <c r="BO5" s="686">
        <f t="shared" si="2"/>
        <v>2661.1000000000004</v>
      </c>
      <c r="BP5" s="686">
        <f t="shared" si="2"/>
        <v>2665.1000000000004</v>
      </c>
      <c r="BQ5" s="686">
        <f t="shared" si="2"/>
        <v>2669.1000000000004</v>
      </c>
      <c r="BR5" s="686">
        <f t="shared" si="2"/>
        <v>2673.1000000000004</v>
      </c>
      <c r="BS5" s="686">
        <f t="shared" si="2"/>
        <v>2677.1000000000004</v>
      </c>
      <c r="BT5" s="664">
        <f>BS5*1.1</f>
        <v>2944.8100000000009</v>
      </c>
      <c r="BU5" s="686">
        <f t="shared" ref="BU5:CI5" si="3">BT5+2</f>
        <v>2946.8100000000009</v>
      </c>
      <c r="BV5" s="686">
        <f t="shared" si="3"/>
        <v>2948.8100000000009</v>
      </c>
      <c r="BW5" s="686">
        <f t="shared" si="3"/>
        <v>2950.8100000000009</v>
      </c>
      <c r="BX5" s="686">
        <f t="shared" si="3"/>
        <v>2952.8100000000009</v>
      </c>
      <c r="BY5" s="686">
        <f t="shared" si="3"/>
        <v>2954.8100000000009</v>
      </c>
      <c r="BZ5" s="686">
        <f t="shared" si="3"/>
        <v>2956.8100000000009</v>
      </c>
      <c r="CA5" s="686">
        <f t="shared" si="3"/>
        <v>2958.8100000000009</v>
      </c>
      <c r="CB5" s="686">
        <f t="shared" si="3"/>
        <v>2960.8100000000009</v>
      </c>
      <c r="CC5" s="686">
        <f t="shared" si="3"/>
        <v>2962.8100000000009</v>
      </c>
      <c r="CD5" s="686">
        <f t="shared" si="3"/>
        <v>2964.8100000000009</v>
      </c>
      <c r="CE5" s="686">
        <f t="shared" si="3"/>
        <v>2966.8100000000009</v>
      </c>
      <c r="CF5" s="686">
        <f t="shared" si="3"/>
        <v>2968.8100000000009</v>
      </c>
      <c r="CG5" s="686">
        <f t="shared" si="3"/>
        <v>2970.8100000000009</v>
      </c>
      <c r="CH5" s="686">
        <f t="shared" si="3"/>
        <v>2972.8100000000009</v>
      </c>
      <c r="CI5" s="686">
        <f t="shared" si="3"/>
        <v>2974.8100000000009</v>
      </c>
    </row>
    <row r="6" spans="1:87" x14ac:dyDescent="0.25">
      <c r="A6" s="644" t="s">
        <v>33</v>
      </c>
      <c r="B6" s="646">
        <v>13391</v>
      </c>
      <c r="C6" s="375">
        <v>0.7</v>
      </c>
      <c r="D6" s="375">
        <v>75</v>
      </c>
      <c r="E6" s="375">
        <v>10</v>
      </c>
      <c r="F6" s="375">
        <v>6</v>
      </c>
      <c r="G6" s="375">
        <f t="shared" ref="G6:G8" si="4">C6*B6</f>
        <v>9373.6999999999989</v>
      </c>
      <c r="H6" s="375">
        <f t="shared" ref="H6:H8" si="5">B6*E6</f>
        <v>133910</v>
      </c>
      <c r="J6" s="124" t="s">
        <v>2443</v>
      </c>
      <c r="K6" s="657">
        <f t="shared" ref="K6:AP6" si="6">K5*$B$14</f>
        <v>27836.9</v>
      </c>
      <c r="L6" s="657">
        <f t="shared" si="6"/>
        <v>27913.34</v>
      </c>
      <c r="M6" s="657">
        <f t="shared" si="6"/>
        <v>27989.78</v>
      </c>
      <c r="N6" s="657">
        <f t="shared" si="6"/>
        <v>28066.22</v>
      </c>
      <c r="O6" s="657">
        <f t="shared" si="6"/>
        <v>28142.66</v>
      </c>
      <c r="P6" s="657">
        <f t="shared" si="6"/>
        <v>28219.100000000002</v>
      </c>
      <c r="Q6" s="657">
        <f t="shared" si="6"/>
        <v>28295.54</v>
      </c>
      <c r="R6" s="657">
        <f t="shared" si="6"/>
        <v>28371.98</v>
      </c>
      <c r="S6" s="657">
        <f t="shared" si="6"/>
        <v>28448.420000000002</v>
      </c>
      <c r="T6" s="657">
        <f t="shared" si="6"/>
        <v>28524.86</v>
      </c>
      <c r="U6" s="657">
        <f t="shared" si="6"/>
        <v>28601.3</v>
      </c>
      <c r="V6" s="657">
        <f t="shared" si="6"/>
        <v>28677.74</v>
      </c>
      <c r="W6" s="657">
        <f t="shared" si="6"/>
        <v>28754.18</v>
      </c>
      <c r="X6" s="657">
        <f t="shared" si="6"/>
        <v>28805.14</v>
      </c>
      <c r="Y6" s="657">
        <f t="shared" si="6"/>
        <v>28856.100000000002</v>
      </c>
      <c r="Z6" s="657">
        <f t="shared" si="6"/>
        <v>28907.06</v>
      </c>
      <c r="AA6" s="657">
        <f t="shared" si="6"/>
        <v>28958.02</v>
      </c>
      <c r="AB6" s="657">
        <f t="shared" si="6"/>
        <v>29008.98</v>
      </c>
      <c r="AC6" s="657">
        <f t="shared" si="6"/>
        <v>29059.94</v>
      </c>
      <c r="AD6" s="657">
        <f t="shared" si="6"/>
        <v>29110.9</v>
      </c>
      <c r="AE6" s="657">
        <f t="shared" si="6"/>
        <v>29161.86</v>
      </c>
      <c r="AF6" s="657">
        <f t="shared" si="6"/>
        <v>29212.82</v>
      </c>
      <c r="AG6" s="657">
        <f t="shared" si="6"/>
        <v>29263.78</v>
      </c>
      <c r="AH6" s="657">
        <f t="shared" si="6"/>
        <v>29314.74</v>
      </c>
      <c r="AI6" s="657">
        <f t="shared" si="6"/>
        <v>29365.7</v>
      </c>
      <c r="AJ6" s="657">
        <f t="shared" si="6"/>
        <v>29416.66</v>
      </c>
      <c r="AK6" s="657">
        <f t="shared" si="6"/>
        <v>29467.62</v>
      </c>
      <c r="AL6" s="657">
        <f t="shared" si="6"/>
        <v>29518.58</v>
      </c>
      <c r="AM6" s="657">
        <f t="shared" si="6"/>
        <v>29569.54</v>
      </c>
      <c r="AN6" s="657">
        <f t="shared" si="6"/>
        <v>32526.494000000006</v>
      </c>
      <c r="AO6" s="657">
        <f t="shared" si="6"/>
        <v>32577.454000000005</v>
      </c>
      <c r="AP6" s="657">
        <f t="shared" si="6"/>
        <v>32628.414000000004</v>
      </c>
      <c r="AQ6" s="657">
        <f t="shared" ref="AQ6:BC6" si="7">AQ5*$B$14</f>
        <v>32679.374000000003</v>
      </c>
      <c r="AR6" s="657">
        <f t="shared" si="7"/>
        <v>32730.334000000006</v>
      </c>
      <c r="AS6" s="657">
        <f t="shared" si="7"/>
        <v>32781.294000000002</v>
      </c>
      <c r="AT6" s="657">
        <f t="shared" si="7"/>
        <v>32832.254000000008</v>
      </c>
      <c r="AU6" s="657">
        <f t="shared" si="7"/>
        <v>32883.214000000007</v>
      </c>
      <c r="AV6" s="657">
        <f t="shared" si="7"/>
        <v>32934.174000000006</v>
      </c>
      <c r="AW6" s="657">
        <f t="shared" si="7"/>
        <v>32985.134000000005</v>
      </c>
      <c r="AX6" s="657">
        <f t="shared" si="7"/>
        <v>33036.094000000005</v>
      </c>
      <c r="AY6" s="657">
        <f t="shared" si="7"/>
        <v>33087.054000000004</v>
      </c>
      <c r="AZ6" s="657">
        <f t="shared" si="7"/>
        <v>33138.014000000003</v>
      </c>
      <c r="BA6" s="657">
        <f t="shared" si="7"/>
        <v>33188.974000000002</v>
      </c>
      <c r="BB6" s="657">
        <f t="shared" si="7"/>
        <v>33239.934000000008</v>
      </c>
      <c r="BC6" s="657">
        <f t="shared" si="7"/>
        <v>33290.894000000008</v>
      </c>
      <c r="BD6" s="657">
        <f>BD5*$B$14</f>
        <v>33341.854000000007</v>
      </c>
      <c r="BE6" s="657">
        <f>BE5*$B$14</f>
        <v>33392.814000000006</v>
      </c>
      <c r="BF6" s="657">
        <f>BF5*$B$14</f>
        <v>33443.774000000005</v>
      </c>
      <c r="BG6" s="657">
        <f t="shared" ref="BG6" si="8">BG5*$B$14</f>
        <v>33494.734000000004</v>
      </c>
      <c r="BH6" s="657">
        <f t="shared" ref="BH6" si="9">BH5*$B$14</f>
        <v>33545.694000000003</v>
      </c>
      <c r="BI6" s="657">
        <f t="shared" ref="BI6" si="10">BI5*$B$14</f>
        <v>33596.654000000002</v>
      </c>
      <c r="BJ6" s="657">
        <f t="shared" ref="BJ6" si="11">BJ5*$B$14</f>
        <v>33647.614000000009</v>
      </c>
      <c r="BK6" s="657">
        <f t="shared" ref="BK6" si="12">BK5*$B$14</f>
        <v>33698.574000000008</v>
      </c>
      <c r="BL6" s="657">
        <f t="shared" ref="BL6" si="13">BL5*$B$14</f>
        <v>33749.534000000007</v>
      </c>
      <c r="BM6" s="657">
        <f t="shared" ref="BM6" si="14">BM5*$B$14</f>
        <v>33800.494000000006</v>
      </c>
      <c r="BN6" s="657">
        <f t="shared" ref="BN6" si="15">BN5*$B$14</f>
        <v>33851.454000000005</v>
      </c>
      <c r="BO6" s="657">
        <f t="shared" ref="BO6" si="16">BO5*$B$14</f>
        <v>33902.414000000004</v>
      </c>
      <c r="BP6" s="657">
        <f t="shared" ref="BP6" si="17">BP5*$B$14</f>
        <v>33953.374000000003</v>
      </c>
      <c r="BQ6" s="657">
        <f t="shared" ref="BQ6" si="18">BQ5*$B$14</f>
        <v>34004.334000000003</v>
      </c>
      <c r="BR6" s="657">
        <f t="shared" ref="BR6" si="19">BR5*$B$14</f>
        <v>34055.294000000002</v>
      </c>
      <c r="BS6" s="657">
        <f t="shared" ref="BS6" si="20">BS5*$B$14</f>
        <v>34106.254000000008</v>
      </c>
      <c r="BT6" s="657">
        <f>BT5*$B$14</f>
        <v>37516.879400000013</v>
      </c>
      <c r="BU6" s="657">
        <f>BU5*$B$14</f>
        <v>37542.359400000008</v>
      </c>
      <c r="BV6" s="657">
        <f>BV5*$B$14</f>
        <v>37567.839400000012</v>
      </c>
      <c r="BW6" s="657">
        <f t="shared" ref="BW6" si="21">BW5*$B$14</f>
        <v>37593.319400000015</v>
      </c>
      <c r="BX6" s="657">
        <f t="shared" ref="BX6" si="22">BX5*$B$14</f>
        <v>37618.799400000011</v>
      </c>
      <c r="BY6" s="657">
        <f t="shared" ref="BY6" si="23">BY5*$B$14</f>
        <v>37644.279400000014</v>
      </c>
      <c r="BZ6" s="657">
        <f t="shared" ref="BZ6" si="24">BZ5*$B$14</f>
        <v>37669.75940000001</v>
      </c>
      <c r="CA6" s="657">
        <f t="shared" ref="CA6" si="25">CA5*$B$14</f>
        <v>37695.239400000013</v>
      </c>
      <c r="CB6" s="657">
        <f t="shared" ref="CB6" si="26">CB5*$B$14</f>
        <v>37720.719400000009</v>
      </c>
      <c r="CC6" s="657">
        <f t="shared" ref="CC6" si="27">CC5*$B$14</f>
        <v>37746.199400000012</v>
      </c>
      <c r="CD6" s="657">
        <f t="shared" ref="CD6" si="28">CD5*$B$14</f>
        <v>37771.679400000008</v>
      </c>
      <c r="CE6" s="657">
        <f t="shared" ref="CE6" si="29">CE5*$B$14</f>
        <v>37797.159400000011</v>
      </c>
      <c r="CF6" s="657">
        <f t="shared" ref="CF6" si="30">CF5*$B$14</f>
        <v>37822.639400000015</v>
      </c>
      <c r="CG6" s="657">
        <f t="shared" ref="CG6" si="31">CG5*$B$14</f>
        <v>37848.119400000011</v>
      </c>
      <c r="CH6" s="657">
        <f t="shared" ref="CH6" si="32">CH5*$B$14</f>
        <v>37873.599400000014</v>
      </c>
      <c r="CI6" s="657">
        <f t="shared" ref="CI6" si="33">CI5*$B$14</f>
        <v>37899.07940000001</v>
      </c>
    </row>
    <row r="7" spans="1:87" x14ac:dyDescent="0.25">
      <c r="A7" s="644" t="s">
        <v>34</v>
      </c>
      <c r="B7" s="646">
        <v>11289</v>
      </c>
      <c r="C7" s="375">
        <v>1</v>
      </c>
      <c r="D7" s="375">
        <v>90</v>
      </c>
      <c r="E7" s="375">
        <v>19</v>
      </c>
      <c r="F7" s="375">
        <v>6</v>
      </c>
      <c r="G7" s="375">
        <f t="shared" si="4"/>
        <v>11289</v>
      </c>
      <c r="H7" s="375">
        <f t="shared" si="5"/>
        <v>214491</v>
      </c>
      <c r="J7" s="124" t="s">
        <v>2444</v>
      </c>
      <c r="K7" s="657">
        <f t="shared" ref="K7:AP7" si="34">K5*$C$14</f>
        <v>10684.65</v>
      </c>
      <c r="L7" s="657">
        <f t="shared" si="34"/>
        <v>10713.99</v>
      </c>
      <c r="M7" s="657">
        <f t="shared" si="34"/>
        <v>10743.33</v>
      </c>
      <c r="N7" s="657">
        <f t="shared" si="34"/>
        <v>10772.67</v>
      </c>
      <c r="O7" s="657">
        <f t="shared" si="34"/>
        <v>10802.009999999998</v>
      </c>
      <c r="P7" s="657">
        <f t="shared" si="34"/>
        <v>10831.349999999999</v>
      </c>
      <c r="Q7" s="657">
        <f t="shared" si="34"/>
        <v>10860.689999999999</v>
      </c>
      <c r="R7" s="657">
        <f t="shared" si="34"/>
        <v>10890.029999999999</v>
      </c>
      <c r="S7" s="657">
        <f t="shared" si="34"/>
        <v>10919.369999999999</v>
      </c>
      <c r="T7" s="657">
        <f t="shared" si="34"/>
        <v>10948.71</v>
      </c>
      <c r="U7" s="657">
        <f t="shared" si="34"/>
        <v>10978.05</v>
      </c>
      <c r="V7" s="657">
        <f t="shared" si="34"/>
        <v>11007.39</v>
      </c>
      <c r="W7" s="657">
        <f t="shared" si="34"/>
        <v>11036.73</v>
      </c>
      <c r="X7" s="657">
        <f t="shared" si="34"/>
        <v>11056.289999999999</v>
      </c>
      <c r="Y7" s="657">
        <f t="shared" si="34"/>
        <v>11075.849999999999</v>
      </c>
      <c r="Z7" s="657">
        <f t="shared" si="34"/>
        <v>11095.41</v>
      </c>
      <c r="AA7" s="657">
        <f t="shared" si="34"/>
        <v>11114.97</v>
      </c>
      <c r="AB7" s="657">
        <f t="shared" si="34"/>
        <v>11134.529999999999</v>
      </c>
      <c r="AC7" s="657">
        <f t="shared" si="34"/>
        <v>11154.09</v>
      </c>
      <c r="AD7" s="657">
        <f t="shared" si="34"/>
        <v>11173.65</v>
      </c>
      <c r="AE7" s="657">
        <f t="shared" si="34"/>
        <v>11193.21</v>
      </c>
      <c r="AF7" s="657">
        <f t="shared" si="34"/>
        <v>11212.769999999999</v>
      </c>
      <c r="AG7" s="657">
        <f t="shared" si="34"/>
        <v>11232.33</v>
      </c>
      <c r="AH7" s="657">
        <f t="shared" si="34"/>
        <v>11251.89</v>
      </c>
      <c r="AI7" s="657">
        <f t="shared" si="34"/>
        <v>11271.449999999999</v>
      </c>
      <c r="AJ7" s="657">
        <f t="shared" si="34"/>
        <v>11291.009999999998</v>
      </c>
      <c r="AK7" s="657">
        <f t="shared" si="34"/>
        <v>11310.57</v>
      </c>
      <c r="AL7" s="657">
        <f t="shared" si="34"/>
        <v>11330.13</v>
      </c>
      <c r="AM7" s="657">
        <f t="shared" si="34"/>
        <v>11349.689999999999</v>
      </c>
      <c r="AN7" s="657">
        <f t="shared" si="34"/>
        <v>12484.659000000001</v>
      </c>
      <c r="AO7" s="657">
        <f t="shared" si="34"/>
        <v>12504.219000000001</v>
      </c>
      <c r="AP7" s="657">
        <f t="shared" si="34"/>
        <v>12523.779</v>
      </c>
      <c r="AQ7" s="657">
        <f t="shared" ref="AQ7:BC7" si="35">AQ5*$C$14</f>
        <v>12543.339000000002</v>
      </c>
      <c r="AR7" s="657">
        <f t="shared" si="35"/>
        <v>12562.899000000001</v>
      </c>
      <c r="AS7" s="657">
        <f t="shared" si="35"/>
        <v>12582.459000000001</v>
      </c>
      <c r="AT7" s="657">
        <f t="shared" si="35"/>
        <v>12602.019</v>
      </c>
      <c r="AU7" s="657">
        <f t="shared" si="35"/>
        <v>12621.579000000002</v>
      </c>
      <c r="AV7" s="657">
        <f t="shared" si="35"/>
        <v>12641.139000000001</v>
      </c>
      <c r="AW7" s="657">
        <f t="shared" si="35"/>
        <v>12660.699000000001</v>
      </c>
      <c r="AX7" s="657">
        <f t="shared" si="35"/>
        <v>12680.259000000002</v>
      </c>
      <c r="AY7" s="657">
        <f t="shared" si="35"/>
        <v>12699.819000000001</v>
      </c>
      <c r="AZ7" s="657">
        <f t="shared" si="35"/>
        <v>12719.379000000001</v>
      </c>
      <c r="BA7" s="657">
        <f t="shared" si="35"/>
        <v>12738.939</v>
      </c>
      <c r="BB7" s="657">
        <f t="shared" si="35"/>
        <v>12758.499000000002</v>
      </c>
      <c r="BC7" s="657">
        <f t="shared" si="35"/>
        <v>12778.059000000001</v>
      </c>
      <c r="BD7" s="657">
        <f>BD5*$C$14</f>
        <v>12797.619000000001</v>
      </c>
      <c r="BE7" s="657">
        <f>BE5*$C$14</f>
        <v>12817.179</v>
      </c>
      <c r="BF7" s="657">
        <f>BF5*$C$14</f>
        <v>12836.739000000001</v>
      </c>
      <c r="BG7" s="657">
        <f t="shared" ref="BG7:BS7" si="36">BG5*$C$14</f>
        <v>12856.299000000001</v>
      </c>
      <c r="BH7" s="657">
        <f t="shared" si="36"/>
        <v>12875.859</v>
      </c>
      <c r="BI7" s="657">
        <f t="shared" si="36"/>
        <v>12895.419000000002</v>
      </c>
      <c r="BJ7" s="657">
        <f t="shared" si="36"/>
        <v>12914.979000000001</v>
      </c>
      <c r="BK7" s="657">
        <f t="shared" si="36"/>
        <v>12934.539000000001</v>
      </c>
      <c r="BL7" s="657">
        <f t="shared" si="36"/>
        <v>12954.099</v>
      </c>
      <c r="BM7" s="657">
        <f t="shared" si="36"/>
        <v>12973.659000000001</v>
      </c>
      <c r="BN7" s="657">
        <f t="shared" si="36"/>
        <v>12993.219000000001</v>
      </c>
      <c r="BO7" s="657">
        <f t="shared" si="36"/>
        <v>13012.779</v>
      </c>
      <c r="BP7" s="657">
        <f t="shared" si="36"/>
        <v>13032.339000000002</v>
      </c>
      <c r="BQ7" s="657">
        <f t="shared" si="36"/>
        <v>13051.899000000001</v>
      </c>
      <c r="BR7" s="657">
        <f t="shared" si="36"/>
        <v>13071.459000000001</v>
      </c>
      <c r="BS7" s="657">
        <f t="shared" si="36"/>
        <v>13091.019</v>
      </c>
      <c r="BT7" s="657">
        <f>BT5*$C$14</f>
        <v>14400.120900000004</v>
      </c>
      <c r="BU7" s="657">
        <f>BU5*$C$14</f>
        <v>14409.900900000002</v>
      </c>
      <c r="BV7" s="657">
        <f>BV5*$C$14</f>
        <v>14419.680900000003</v>
      </c>
      <c r="BW7" s="657">
        <f t="shared" ref="BW7:CI7" si="37">BW5*$C$14</f>
        <v>14429.460900000004</v>
      </c>
      <c r="BX7" s="657">
        <f t="shared" si="37"/>
        <v>14439.240900000003</v>
      </c>
      <c r="BY7" s="657">
        <f t="shared" si="37"/>
        <v>14449.020900000003</v>
      </c>
      <c r="BZ7" s="657">
        <f t="shared" si="37"/>
        <v>14458.800900000004</v>
      </c>
      <c r="CA7" s="657">
        <f t="shared" si="37"/>
        <v>14468.580900000003</v>
      </c>
      <c r="CB7" s="657">
        <f t="shared" si="37"/>
        <v>14478.360900000003</v>
      </c>
      <c r="CC7" s="657">
        <f t="shared" si="37"/>
        <v>14488.140900000004</v>
      </c>
      <c r="CD7" s="657">
        <f t="shared" si="37"/>
        <v>14497.920900000003</v>
      </c>
      <c r="CE7" s="657">
        <f t="shared" si="37"/>
        <v>14507.700900000003</v>
      </c>
      <c r="CF7" s="657">
        <f t="shared" si="37"/>
        <v>14517.480900000004</v>
      </c>
      <c r="CG7" s="657">
        <f t="shared" si="37"/>
        <v>14527.260900000003</v>
      </c>
      <c r="CH7" s="657">
        <f t="shared" si="37"/>
        <v>14537.040900000004</v>
      </c>
      <c r="CI7" s="657">
        <f t="shared" si="37"/>
        <v>14546.820900000002</v>
      </c>
    </row>
    <row r="8" spans="1:87" x14ac:dyDescent="0.25">
      <c r="A8" s="644" t="s">
        <v>35</v>
      </c>
      <c r="B8" s="646">
        <v>1397</v>
      </c>
      <c r="C8" s="375">
        <v>2.5</v>
      </c>
      <c r="D8" s="375">
        <v>300</v>
      </c>
      <c r="E8" s="375">
        <v>35</v>
      </c>
      <c r="F8" s="375">
        <v>6</v>
      </c>
      <c r="G8" s="375">
        <f t="shared" si="4"/>
        <v>3492.5</v>
      </c>
      <c r="H8" s="375">
        <f t="shared" si="5"/>
        <v>48895</v>
      </c>
      <c r="J8" s="124" t="s">
        <v>2445</v>
      </c>
      <c r="K8" s="657">
        <f t="shared" ref="K8:AP8" si="38">K5*$D$14</f>
        <v>9007.6624999999985</v>
      </c>
      <c r="L8" s="657">
        <f t="shared" si="38"/>
        <v>9032.3974999999991</v>
      </c>
      <c r="M8" s="657">
        <f t="shared" si="38"/>
        <v>9057.1324999999997</v>
      </c>
      <c r="N8" s="657">
        <f t="shared" si="38"/>
        <v>9081.8674999999985</v>
      </c>
      <c r="O8" s="657">
        <f t="shared" si="38"/>
        <v>9106.6024999999991</v>
      </c>
      <c r="P8" s="657">
        <f t="shared" si="38"/>
        <v>9131.3374999999996</v>
      </c>
      <c r="Q8" s="657">
        <f t="shared" si="38"/>
        <v>9156.0724999999984</v>
      </c>
      <c r="R8" s="657">
        <f t="shared" si="38"/>
        <v>9180.807499999999</v>
      </c>
      <c r="S8" s="657">
        <f t="shared" si="38"/>
        <v>9205.5424999999996</v>
      </c>
      <c r="T8" s="657">
        <f t="shared" si="38"/>
        <v>9230.2774999999983</v>
      </c>
      <c r="U8" s="657">
        <f t="shared" si="38"/>
        <v>9255.0124999999989</v>
      </c>
      <c r="V8" s="657">
        <f t="shared" si="38"/>
        <v>9279.7474999999995</v>
      </c>
      <c r="W8" s="657">
        <f t="shared" si="38"/>
        <v>9304.4824999999983</v>
      </c>
      <c r="X8" s="657">
        <f t="shared" si="38"/>
        <v>9320.9724999999999</v>
      </c>
      <c r="Y8" s="657">
        <f t="shared" si="38"/>
        <v>9337.4624999999996</v>
      </c>
      <c r="Z8" s="657">
        <f t="shared" si="38"/>
        <v>9353.9524999999994</v>
      </c>
      <c r="AA8" s="657">
        <f t="shared" si="38"/>
        <v>9370.4424999999992</v>
      </c>
      <c r="AB8" s="657">
        <f t="shared" si="38"/>
        <v>9386.932499999999</v>
      </c>
      <c r="AC8" s="657">
        <f t="shared" si="38"/>
        <v>9403.4224999999988</v>
      </c>
      <c r="AD8" s="657">
        <f t="shared" si="38"/>
        <v>9419.9124999999985</v>
      </c>
      <c r="AE8" s="657">
        <f t="shared" si="38"/>
        <v>9436.4024999999983</v>
      </c>
      <c r="AF8" s="657">
        <f t="shared" si="38"/>
        <v>9452.8924999999999</v>
      </c>
      <c r="AG8" s="657">
        <f t="shared" si="38"/>
        <v>9469.3824999999997</v>
      </c>
      <c r="AH8" s="657">
        <f t="shared" si="38"/>
        <v>9485.8724999999995</v>
      </c>
      <c r="AI8" s="657">
        <f t="shared" si="38"/>
        <v>9502.3624999999993</v>
      </c>
      <c r="AJ8" s="657">
        <f t="shared" si="38"/>
        <v>9518.8524999999991</v>
      </c>
      <c r="AK8" s="657">
        <f t="shared" si="38"/>
        <v>9535.3424999999988</v>
      </c>
      <c r="AL8" s="657">
        <f t="shared" si="38"/>
        <v>9551.8324999999986</v>
      </c>
      <c r="AM8" s="657">
        <f t="shared" si="38"/>
        <v>9568.3224999999984</v>
      </c>
      <c r="AN8" s="657">
        <f t="shared" si="38"/>
        <v>10525.15475</v>
      </c>
      <c r="AO8" s="657">
        <f t="shared" si="38"/>
        <v>10541.644750000001</v>
      </c>
      <c r="AP8" s="657">
        <f t="shared" si="38"/>
        <v>10558.134750000001</v>
      </c>
      <c r="AQ8" s="657">
        <f t="shared" ref="AQ8:BC8" si="39">AQ5*$D$14</f>
        <v>10574.624750000001</v>
      </c>
      <c r="AR8" s="657">
        <f t="shared" si="39"/>
        <v>10591.114750000001</v>
      </c>
      <c r="AS8" s="657">
        <f t="shared" si="39"/>
        <v>10607.60475</v>
      </c>
      <c r="AT8" s="657">
        <f t="shared" si="39"/>
        <v>10624.09475</v>
      </c>
      <c r="AU8" s="657">
        <f t="shared" si="39"/>
        <v>10640.58475</v>
      </c>
      <c r="AV8" s="657">
        <f t="shared" si="39"/>
        <v>10657.07475</v>
      </c>
      <c r="AW8" s="657">
        <f t="shared" si="39"/>
        <v>10673.564750000001</v>
      </c>
      <c r="AX8" s="657">
        <f t="shared" si="39"/>
        <v>10690.054750000001</v>
      </c>
      <c r="AY8" s="657">
        <f t="shared" si="39"/>
        <v>10706.544750000001</v>
      </c>
      <c r="AZ8" s="657">
        <f t="shared" si="39"/>
        <v>10723.034750000001</v>
      </c>
      <c r="BA8" s="657">
        <f t="shared" si="39"/>
        <v>10739.52475</v>
      </c>
      <c r="BB8" s="657">
        <f t="shared" si="39"/>
        <v>10756.01475</v>
      </c>
      <c r="BC8" s="657">
        <f t="shared" si="39"/>
        <v>10772.50475</v>
      </c>
      <c r="BD8" s="657">
        <f>BD5*$D$14</f>
        <v>10788.99475</v>
      </c>
      <c r="BE8" s="657">
        <f>BE5*$D$14</f>
        <v>10805.48475</v>
      </c>
      <c r="BF8" s="657">
        <f>BF5*$D$14</f>
        <v>10821.974750000001</v>
      </c>
      <c r="BG8" s="657">
        <f t="shared" ref="BG8:BS8" si="40">BG5*$D$14</f>
        <v>10838.464750000001</v>
      </c>
      <c r="BH8" s="657">
        <f t="shared" si="40"/>
        <v>10854.954750000001</v>
      </c>
      <c r="BI8" s="657">
        <f t="shared" si="40"/>
        <v>10871.444750000001</v>
      </c>
      <c r="BJ8" s="657">
        <f t="shared" si="40"/>
        <v>10887.93475</v>
      </c>
      <c r="BK8" s="657">
        <f t="shared" si="40"/>
        <v>10904.42475</v>
      </c>
      <c r="BL8" s="657">
        <f t="shared" si="40"/>
        <v>10920.91475</v>
      </c>
      <c r="BM8" s="657">
        <f t="shared" si="40"/>
        <v>10937.40475</v>
      </c>
      <c r="BN8" s="657">
        <f t="shared" si="40"/>
        <v>10953.894750000001</v>
      </c>
      <c r="BO8" s="657">
        <f t="shared" si="40"/>
        <v>10970.384750000001</v>
      </c>
      <c r="BP8" s="657">
        <f t="shared" si="40"/>
        <v>10986.874750000001</v>
      </c>
      <c r="BQ8" s="657">
        <f t="shared" si="40"/>
        <v>11003.364750000001</v>
      </c>
      <c r="BR8" s="657">
        <f t="shared" si="40"/>
        <v>11019.85475</v>
      </c>
      <c r="BS8" s="657">
        <f t="shared" si="40"/>
        <v>11036.34475</v>
      </c>
      <c r="BT8" s="657">
        <f>BT5*$D$14</f>
        <v>12139.979225000003</v>
      </c>
      <c r="BU8" s="657">
        <f>BU5*$D$14</f>
        <v>12148.224225000002</v>
      </c>
      <c r="BV8" s="657">
        <f>BV5*$D$14</f>
        <v>12156.469225000003</v>
      </c>
      <c r="BW8" s="657">
        <f t="shared" ref="BW8:CI8" si="41">BW5*$D$14</f>
        <v>12164.714225000002</v>
      </c>
      <c r="BX8" s="657">
        <f t="shared" si="41"/>
        <v>12172.959225000002</v>
      </c>
      <c r="BY8" s="657">
        <f t="shared" si="41"/>
        <v>12181.204225000003</v>
      </c>
      <c r="BZ8" s="657">
        <f t="shared" si="41"/>
        <v>12189.449225000002</v>
      </c>
      <c r="CA8" s="657">
        <f t="shared" si="41"/>
        <v>12197.694225000003</v>
      </c>
      <c r="CB8" s="657">
        <f t="shared" si="41"/>
        <v>12205.939225000002</v>
      </c>
      <c r="CC8" s="657">
        <f t="shared" si="41"/>
        <v>12214.184225000003</v>
      </c>
      <c r="CD8" s="657">
        <f t="shared" si="41"/>
        <v>12222.429225000002</v>
      </c>
      <c r="CE8" s="657">
        <f t="shared" si="41"/>
        <v>12230.674225000002</v>
      </c>
      <c r="CF8" s="657">
        <f t="shared" si="41"/>
        <v>12238.919225000001</v>
      </c>
      <c r="CG8" s="657">
        <f t="shared" si="41"/>
        <v>12247.164225000002</v>
      </c>
      <c r="CH8" s="657">
        <f t="shared" si="41"/>
        <v>12255.409225000003</v>
      </c>
      <c r="CI8" s="657">
        <f t="shared" si="41"/>
        <v>12263.654225000002</v>
      </c>
    </row>
    <row r="9" spans="1:87" x14ac:dyDescent="0.25">
      <c r="G9" s="667">
        <f>G8+G7+G6+G5</f>
        <v>41599.199999999997</v>
      </c>
      <c r="H9" s="667">
        <f>H8+H7+H6+H5</f>
        <v>641512</v>
      </c>
      <c r="J9" s="124" t="s">
        <v>2446</v>
      </c>
      <c r="K9" s="657">
        <f t="shared" ref="K9:AP9" si="42">K5*$E$14</f>
        <v>1114.3499999999999</v>
      </c>
      <c r="L9" s="657">
        <f t="shared" si="42"/>
        <v>1117.4100000000001</v>
      </c>
      <c r="M9" s="657">
        <f t="shared" si="42"/>
        <v>1120.47</v>
      </c>
      <c r="N9" s="657">
        <f t="shared" si="42"/>
        <v>1123.53</v>
      </c>
      <c r="O9" s="657">
        <f t="shared" si="42"/>
        <v>1126.5899999999999</v>
      </c>
      <c r="P9" s="657">
        <f t="shared" si="42"/>
        <v>1129.6500000000001</v>
      </c>
      <c r="Q9" s="657">
        <f t="shared" si="42"/>
        <v>1132.71</v>
      </c>
      <c r="R9" s="657">
        <f t="shared" si="42"/>
        <v>1135.77</v>
      </c>
      <c r="S9" s="657">
        <f t="shared" si="42"/>
        <v>1138.83</v>
      </c>
      <c r="T9" s="657">
        <f t="shared" si="42"/>
        <v>1141.8900000000001</v>
      </c>
      <c r="U9" s="657">
        <f t="shared" si="42"/>
        <v>1144.95</v>
      </c>
      <c r="V9" s="657">
        <f t="shared" si="42"/>
        <v>1148.01</v>
      </c>
      <c r="W9" s="657">
        <f t="shared" si="42"/>
        <v>1151.07</v>
      </c>
      <c r="X9" s="657">
        <f t="shared" si="42"/>
        <v>1153.1100000000001</v>
      </c>
      <c r="Y9" s="657">
        <f t="shared" si="42"/>
        <v>1155.1500000000001</v>
      </c>
      <c r="Z9" s="657">
        <f t="shared" si="42"/>
        <v>1157.19</v>
      </c>
      <c r="AA9" s="657">
        <f t="shared" si="42"/>
        <v>1159.23</v>
      </c>
      <c r="AB9" s="657">
        <f t="shared" si="42"/>
        <v>1161.27</v>
      </c>
      <c r="AC9" s="657">
        <f t="shared" si="42"/>
        <v>1163.31</v>
      </c>
      <c r="AD9" s="657">
        <f t="shared" si="42"/>
        <v>1165.3499999999999</v>
      </c>
      <c r="AE9" s="657">
        <f t="shared" si="42"/>
        <v>1167.3900000000001</v>
      </c>
      <c r="AF9" s="657">
        <f t="shared" si="42"/>
        <v>1169.43</v>
      </c>
      <c r="AG9" s="657">
        <f t="shared" si="42"/>
        <v>1171.47</v>
      </c>
      <c r="AH9" s="657">
        <f t="shared" si="42"/>
        <v>1173.51</v>
      </c>
      <c r="AI9" s="657">
        <f t="shared" si="42"/>
        <v>1175.55</v>
      </c>
      <c r="AJ9" s="657">
        <f t="shared" si="42"/>
        <v>1177.5899999999999</v>
      </c>
      <c r="AK9" s="657">
        <f t="shared" si="42"/>
        <v>1179.6300000000001</v>
      </c>
      <c r="AL9" s="657">
        <f t="shared" si="42"/>
        <v>1181.67</v>
      </c>
      <c r="AM9" s="657">
        <f t="shared" si="42"/>
        <v>1183.71</v>
      </c>
      <c r="AN9" s="657">
        <f t="shared" si="42"/>
        <v>1302.0810000000001</v>
      </c>
      <c r="AO9" s="657">
        <f t="shared" si="42"/>
        <v>1304.1210000000001</v>
      </c>
      <c r="AP9" s="657">
        <f t="shared" si="42"/>
        <v>1306.1610000000003</v>
      </c>
      <c r="AQ9" s="657">
        <f t="shared" ref="AQ9:BC9" si="43">AQ5*$E$14</f>
        <v>1308.2010000000002</v>
      </c>
      <c r="AR9" s="657">
        <f t="shared" si="43"/>
        <v>1310.2410000000002</v>
      </c>
      <c r="AS9" s="657">
        <f t="shared" si="43"/>
        <v>1312.2810000000002</v>
      </c>
      <c r="AT9" s="657">
        <f t="shared" si="43"/>
        <v>1314.3210000000001</v>
      </c>
      <c r="AU9" s="657">
        <f t="shared" si="43"/>
        <v>1316.3610000000001</v>
      </c>
      <c r="AV9" s="657">
        <f t="shared" si="43"/>
        <v>1318.4010000000003</v>
      </c>
      <c r="AW9" s="657">
        <f t="shared" si="43"/>
        <v>1320.4410000000003</v>
      </c>
      <c r="AX9" s="657">
        <f t="shared" si="43"/>
        <v>1322.4810000000002</v>
      </c>
      <c r="AY9" s="657">
        <f t="shared" si="43"/>
        <v>1324.5210000000002</v>
      </c>
      <c r="AZ9" s="657">
        <f t="shared" si="43"/>
        <v>1326.5610000000001</v>
      </c>
      <c r="BA9" s="657">
        <f t="shared" si="43"/>
        <v>1328.6010000000001</v>
      </c>
      <c r="BB9" s="657">
        <f t="shared" si="43"/>
        <v>1330.6410000000003</v>
      </c>
      <c r="BC9" s="657">
        <f t="shared" si="43"/>
        <v>1332.6810000000003</v>
      </c>
      <c r="BD9" s="657">
        <f>BD5*$E$14</f>
        <v>1334.7210000000002</v>
      </c>
      <c r="BE9" s="657">
        <f>BE5*$E$14</f>
        <v>1336.7610000000002</v>
      </c>
      <c r="BF9" s="657">
        <f>BF5*$E$14</f>
        <v>1338.8010000000002</v>
      </c>
      <c r="BG9" s="657">
        <f t="shared" ref="BG9:BS9" si="44">BG5*$E$14</f>
        <v>1340.8410000000001</v>
      </c>
      <c r="BH9" s="657">
        <f t="shared" si="44"/>
        <v>1342.8810000000003</v>
      </c>
      <c r="BI9" s="657">
        <f t="shared" si="44"/>
        <v>1344.9210000000003</v>
      </c>
      <c r="BJ9" s="657">
        <f t="shared" si="44"/>
        <v>1346.9610000000002</v>
      </c>
      <c r="BK9" s="657">
        <f t="shared" si="44"/>
        <v>1349.0010000000002</v>
      </c>
      <c r="BL9" s="657">
        <f t="shared" si="44"/>
        <v>1351.0410000000002</v>
      </c>
      <c r="BM9" s="657">
        <f t="shared" si="44"/>
        <v>1353.0810000000001</v>
      </c>
      <c r="BN9" s="657">
        <f t="shared" si="44"/>
        <v>1355.1210000000003</v>
      </c>
      <c r="BO9" s="657">
        <f t="shared" si="44"/>
        <v>1357.1610000000003</v>
      </c>
      <c r="BP9" s="657">
        <f t="shared" si="44"/>
        <v>1359.2010000000002</v>
      </c>
      <c r="BQ9" s="657">
        <f t="shared" si="44"/>
        <v>1361.2410000000002</v>
      </c>
      <c r="BR9" s="657">
        <f t="shared" si="44"/>
        <v>1363.2810000000002</v>
      </c>
      <c r="BS9" s="657">
        <f t="shared" si="44"/>
        <v>1365.3210000000001</v>
      </c>
      <c r="BT9" s="657">
        <f>BT5*$E$14</f>
        <v>1501.8531000000005</v>
      </c>
      <c r="BU9" s="657">
        <f>BU5*$E$14</f>
        <v>1502.8731000000005</v>
      </c>
      <c r="BV9" s="657">
        <f>BV5*$E$14</f>
        <v>1503.8931000000005</v>
      </c>
      <c r="BW9" s="657">
        <f t="shared" ref="BW9:CI9" si="45">BW5*$E$14</f>
        <v>1504.9131000000004</v>
      </c>
      <c r="BX9" s="657">
        <f t="shared" si="45"/>
        <v>1505.9331000000004</v>
      </c>
      <c r="BY9" s="657">
        <f t="shared" si="45"/>
        <v>1506.9531000000004</v>
      </c>
      <c r="BZ9" s="657">
        <f t="shared" si="45"/>
        <v>1507.9731000000004</v>
      </c>
      <c r="CA9" s="657">
        <f t="shared" si="45"/>
        <v>1508.9931000000004</v>
      </c>
      <c r="CB9" s="657">
        <f t="shared" si="45"/>
        <v>1510.0131000000003</v>
      </c>
      <c r="CC9" s="657">
        <f t="shared" si="45"/>
        <v>1511.0331000000006</v>
      </c>
      <c r="CD9" s="657">
        <f t="shared" si="45"/>
        <v>1512.0531000000005</v>
      </c>
      <c r="CE9" s="657">
        <f t="shared" si="45"/>
        <v>1513.0731000000005</v>
      </c>
      <c r="CF9" s="657">
        <f t="shared" si="45"/>
        <v>1514.0931000000005</v>
      </c>
      <c r="CG9" s="657">
        <f t="shared" si="45"/>
        <v>1515.1131000000005</v>
      </c>
      <c r="CH9" s="657">
        <f t="shared" si="45"/>
        <v>1516.1331000000005</v>
      </c>
      <c r="CI9" s="657">
        <f t="shared" si="45"/>
        <v>1517.1531000000004</v>
      </c>
    </row>
    <row r="10" spans="1:87" x14ac:dyDescent="0.25">
      <c r="A10" s="379" t="s">
        <v>2442</v>
      </c>
      <c r="B10" s="379" t="s">
        <v>2441</v>
      </c>
      <c r="C10" s="379" t="s">
        <v>39</v>
      </c>
      <c r="D10" s="379" t="s">
        <v>40</v>
      </c>
      <c r="E10" s="379" t="s">
        <v>41</v>
      </c>
      <c r="F10" s="379" t="s">
        <v>817</v>
      </c>
      <c r="G10" s="379"/>
      <c r="H10" s="379"/>
      <c r="J10" s="658" t="s">
        <v>2461</v>
      </c>
      <c r="K10" s="659">
        <f>B5</f>
        <v>34888</v>
      </c>
      <c r="L10" s="659">
        <f>K10</f>
        <v>34888</v>
      </c>
      <c r="M10" s="659">
        <f t="shared" ref="M10:AP10" si="46">L10</f>
        <v>34888</v>
      </c>
      <c r="N10" s="659">
        <f t="shared" si="46"/>
        <v>34888</v>
      </c>
      <c r="O10" s="659">
        <f t="shared" si="46"/>
        <v>34888</v>
      </c>
      <c r="P10" s="659">
        <f t="shared" si="46"/>
        <v>34888</v>
      </c>
      <c r="Q10" s="659">
        <f t="shared" si="46"/>
        <v>34888</v>
      </c>
      <c r="R10" s="659">
        <f t="shared" si="46"/>
        <v>34888</v>
      </c>
      <c r="S10" s="659">
        <f t="shared" si="46"/>
        <v>34888</v>
      </c>
      <c r="T10" s="659">
        <f t="shared" si="46"/>
        <v>34888</v>
      </c>
      <c r="U10" s="659">
        <f t="shared" si="46"/>
        <v>34888</v>
      </c>
      <c r="V10" s="659">
        <f t="shared" si="46"/>
        <v>34888</v>
      </c>
      <c r="W10" s="659">
        <f t="shared" si="46"/>
        <v>34888</v>
      </c>
      <c r="X10" s="659">
        <f t="shared" si="46"/>
        <v>34888</v>
      </c>
      <c r="Y10" s="659">
        <f t="shared" si="46"/>
        <v>34888</v>
      </c>
      <c r="Z10" s="659">
        <f t="shared" si="46"/>
        <v>34888</v>
      </c>
      <c r="AA10" s="659">
        <f t="shared" si="46"/>
        <v>34888</v>
      </c>
      <c r="AB10" s="659">
        <f t="shared" si="46"/>
        <v>34888</v>
      </c>
      <c r="AC10" s="659">
        <f t="shared" si="46"/>
        <v>34888</v>
      </c>
      <c r="AD10" s="659">
        <f t="shared" si="46"/>
        <v>34888</v>
      </c>
      <c r="AE10" s="659">
        <f t="shared" si="46"/>
        <v>34888</v>
      </c>
      <c r="AF10" s="659">
        <f t="shared" si="46"/>
        <v>34888</v>
      </c>
      <c r="AG10" s="659">
        <f t="shared" si="46"/>
        <v>34888</v>
      </c>
      <c r="AH10" s="659">
        <f t="shared" si="46"/>
        <v>34888</v>
      </c>
      <c r="AI10" s="659">
        <f t="shared" si="46"/>
        <v>34888</v>
      </c>
      <c r="AJ10" s="659">
        <f t="shared" si="46"/>
        <v>34888</v>
      </c>
      <c r="AK10" s="659">
        <f t="shared" si="46"/>
        <v>34888</v>
      </c>
      <c r="AL10" s="659">
        <f t="shared" si="46"/>
        <v>34888</v>
      </c>
      <c r="AM10" s="659">
        <f t="shared" si="46"/>
        <v>34888</v>
      </c>
      <c r="AN10" s="659">
        <f t="shared" si="46"/>
        <v>34888</v>
      </c>
      <c r="AO10" s="659">
        <f t="shared" si="46"/>
        <v>34888</v>
      </c>
      <c r="AP10" s="659">
        <f t="shared" si="46"/>
        <v>34888</v>
      </c>
      <c r="AQ10" s="659">
        <f t="shared" ref="AQ10:BF10" si="47">AP10</f>
        <v>34888</v>
      </c>
      <c r="AR10" s="659">
        <f t="shared" si="47"/>
        <v>34888</v>
      </c>
      <c r="AS10" s="659">
        <f t="shared" si="47"/>
        <v>34888</v>
      </c>
      <c r="AT10" s="659">
        <f t="shared" si="47"/>
        <v>34888</v>
      </c>
      <c r="AU10" s="659">
        <f t="shared" si="47"/>
        <v>34888</v>
      </c>
      <c r="AV10" s="659">
        <f t="shared" si="47"/>
        <v>34888</v>
      </c>
      <c r="AW10" s="659">
        <f t="shared" si="47"/>
        <v>34888</v>
      </c>
      <c r="AX10" s="659">
        <f t="shared" si="47"/>
        <v>34888</v>
      </c>
      <c r="AY10" s="659">
        <f t="shared" si="47"/>
        <v>34888</v>
      </c>
      <c r="AZ10" s="659">
        <f t="shared" si="47"/>
        <v>34888</v>
      </c>
      <c r="BA10" s="659">
        <f t="shared" si="47"/>
        <v>34888</v>
      </c>
      <c r="BB10" s="659">
        <f t="shared" si="47"/>
        <v>34888</v>
      </c>
      <c r="BC10" s="659">
        <f t="shared" si="47"/>
        <v>34888</v>
      </c>
      <c r="BD10" s="659">
        <f t="shared" si="47"/>
        <v>34888</v>
      </c>
      <c r="BE10" s="659">
        <f t="shared" si="47"/>
        <v>34888</v>
      </c>
      <c r="BF10" s="659">
        <f t="shared" si="47"/>
        <v>34888</v>
      </c>
      <c r="BG10" s="659">
        <f t="shared" ref="BG10:BV10" si="48">BF10</f>
        <v>34888</v>
      </c>
      <c r="BH10" s="659">
        <f t="shared" si="48"/>
        <v>34888</v>
      </c>
      <c r="BI10" s="659">
        <f t="shared" si="48"/>
        <v>34888</v>
      </c>
      <c r="BJ10" s="659">
        <f t="shared" si="48"/>
        <v>34888</v>
      </c>
      <c r="BK10" s="659">
        <f t="shared" si="48"/>
        <v>34888</v>
      </c>
      <c r="BL10" s="659">
        <f t="shared" si="48"/>
        <v>34888</v>
      </c>
      <c r="BM10" s="659">
        <f t="shared" si="48"/>
        <v>34888</v>
      </c>
      <c r="BN10" s="659">
        <f t="shared" si="48"/>
        <v>34888</v>
      </c>
      <c r="BO10" s="659">
        <f t="shared" si="48"/>
        <v>34888</v>
      </c>
      <c r="BP10" s="659">
        <f t="shared" si="48"/>
        <v>34888</v>
      </c>
      <c r="BQ10" s="659">
        <f t="shared" si="48"/>
        <v>34888</v>
      </c>
      <c r="BR10" s="659">
        <f t="shared" si="48"/>
        <v>34888</v>
      </c>
      <c r="BS10" s="659">
        <f t="shared" si="48"/>
        <v>34888</v>
      </c>
      <c r="BT10" s="659">
        <f t="shared" si="48"/>
        <v>34888</v>
      </c>
      <c r="BU10" s="659">
        <f t="shared" si="48"/>
        <v>34888</v>
      </c>
      <c r="BV10" s="659">
        <f t="shared" si="48"/>
        <v>34888</v>
      </c>
      <c r="BW10" s="659">
        <f t="shared" ref="BW10:CI10" si="49">BV10</f>
        <v>34888</v>
      </c>
      <c r="BX10" s="659">
        <f t="shared" si="49"/>
        <v>34888</v>
      </c>
      <c r="BY10" s="659">
        <f t="shared" si="49"/>
        <v>34888</v>
      </c>
      <c r="BZ10" s="659">
        <f t="shared" si="49"/>
        <v>34888</v>
      </c>
      <c r="CA10" s="659">
        <f t="shared" si="49"/>
        <v>34888</v>
      </c>
      <c r="CB10" s="659">
        <f t="shared" si="49"/>
        <v>34888</v>
      </c>
      <c r="CC10" s="659">
        <f t="shared" si="49"/>
        <v>34888</v>
      </c>
      <c r="CD10" s="659">
        <f t="shared" si="49"/>
        <v>34888</v>
      </c>
      <c r="CE10" s="659">
        <f t="shared" si="49"/>
        <v>34888</v>
      </c>
      <c r="CF10" s="659">
        <f t="shared" si="49"/>
        <v>34888</v>
      </c>
      <c r="CG10" s="659">
        <f t="shared" si="49"/>
        <v>34888</v>
      </c>
      <c r="CH10" s="659">
        <f t="shared" si="49"/>
        <v>34888</v>
      </c>
      <c r="CI10" s="659">
        <f t="shared" si="49"/>
        <v>34888</v>
      </c>
    </row>
    <row r="11" spans="1:87" x14ac:dyDescent="0.25">
      <c r="A11" s="131">
        <v>11</v>
      </c>
      <c r="B11" s="385">
        <v>14.98</v>
      </c>
      <c r="C11" s="385">
        <v>5.95</v>
      </c>
      <c r="D11" s="385">
        <v>5.3253000000000004</v>
      </c>
      <c r="E11" s="385">
        <v>0.68</v>
      </c>
      <c r="F11" s="650">
        <f>E11+D11+C11+B11</f>
        <v>26.935300000000002</v>
      </c>
      <c r="G11" s="650"/>
      <c r="H11" s="650"/>
      <c r="J11" s="658" t="s">
        <v>2462</v>
      </c>
      <c r="K11" s="659">
        <f>B6</f>
        <v>13391</v>
      </c>
      <c r="L11" s="659">
        <f>K11</f>
        <v>13391</v>
      </c>
      <c r="M11" s="659">
        <f t="shared" ref="M11:AP11" si="50">L11</f>
        <v>13391</v>
      </c>
      <c r="N11" s="659">
        <f t="shared" si="50"/>
        <v>13391</v>
      </c>
      <c r="O11" s="659">
        <f t="shared" si="50"/>
        <v>13391</v>
      </c>
      <c r="P11" s="659">
        <f t="shared" si="50"/>
        <v>13391</v>
      </c>
      <c r="Q11" s="659">
        <f t="shared" si="50"/>
        <v>13391</v>
      </c>
      <c r="R11" s="659">
        <f t="shared" si="50"/>
        <v>13391</v>
      </c>
      <c r="S11" s="659">
        <f t="shared" si="50"/>
        <v>13391</v>
      </c>
      <c r="T11" s="659">
        <f t="shared" si="50"/>
        <v>13391</v>
      </c>
      <c r="U11" s="659">
        <f t="shared" si="50"/>
        <v>13391</v>
      </c>
      <c r="V11" s="659">
        <f t="shared" si="50"/>
        <v>13391</v>
      </c>
      <c r="W11" s="659">
        <f t="shared" si="50"/>
        <v>13391</v>
      </c>
      <c r="X11" s="659">
        <f t="shared" si="50"/>
        <v>13391</v>
      </c>
      <c r="Y11" s="659">
        <f t="shared" si="50"/>
        <v>13391</v>
      </c>
      <c r="Z11" s="659">
        <f t="shared" si="50"/>
        <v>13391</v>
      </c>
      <c r="AA11" s="659">
        <f t="shared" si="50"/>
        <v>13391</v>
      </c>
      <c r="AB11" s="659">
        <f t="shared" si="50"/>
        <v>13391</v>
      </c>
      <c r="AC11" s="659">
        <f t="shared" si="50"/>
        <v>13391</v>
      </c>
      <c r="AD11" s="659">
        <f t="shared" si="50"/>
        <v>13391</v>
      </c>
      <c r="AE11" s="659">
        <f t="shared" si="50"/>
        <v>13391</v>
      </c>
      <c r="AF11" s="659">
        <f t="shared" si="50"/>
        <v>13391</v>
      </c>
      <c r="AG11" s="659">
        <f t="shared" si="50"/>
        <v>13391</v>
      </c>
      <c r="AH11" s="659">
        <f t="shared" si="50"/>
        <v>13391</v>
      </c>
      <c r="AI11" s="659">
        <f t="shared" si="50"/>
        <v>13391</v>
      </c>
      <c r="AJ11" s="659">
        <f t="shared" si="50"/>
        <v>13391</v>
      </c>
      <c r="AK11" s="659">
        <f t="shared" si="50"/>
        <v>13391</v>
      </c>
      <c r="AL11" s="659">
        <f t="shared" si="50"/>
        <v>13391</v>
      </c>
      <c r="AM11" s="659">
        <f t="shared" si="50"/>
        <v>13391</v>
      </c>
      <c r="AN11" s="659">
        <f t="shared" si="50"/>
        <v>13391</v>
      </c>
      <c r="AO11" s="659">
        <f t="shared" si="50"/>
        <v>13391</v>
      </c>
      <c r="AP11" s="659">
        <f t="shared" si="50"/>
        <v>13391</v>
      </c>
      <c r="AQ11" s="659">
        <f t="shared" ref="AQ11:BF11" si="51">AP11</f>
        <v>13391</v>
      </c>
      <c r="AR11" s="659">
        <f t="shared" si="51"/>
        <v>13391</v>
      </c>
      <c r="AS11" s="659">
        <f t="shared" si="51"/>
        <v>13391</v>
      </c>
      <c r="AT11" s="659">
        <f t="shared" si="51"/>
        <v>13391</v>
      </c>
      <c r="AU11" s="659">
        <f t="shared" si="51"/>
        <v>13391</v>
      </c>
      <c r="AV11" s="659">
        <f t="shared" si="51"/>
        <v>13391</v>
      </c>
      <c r="AW11" s="659">
        <f t="shared" si="51"/>
        <v>13391</v>
      </c>
      <c r="AX11" s="659">
        <f t="shared" si="51"/>
        <v>13391</v>
      </c>
      <c r="AY11" s="659">
        <f t="shared" si="51"/>
        <v>13391</v>
      </c>
      <c r="AZ11" s="659">
        <f t="shared" si="51"/>
        <v>13391</v>
      </c>
      <c r="BA11" s="659">
        <f t="shared" si="51"/>
        <v>13391</v>
      </c>
      <c r="BB11" s="659">
        <f t="shared" si="51"/>
        <v>13391</v>
      </c>
      <c r="BC11" s="659">
        <f t="shared" si="51"/>
        <v>13391</v>
      </c>
      <c r="BD11" s="659">
        <f t="shared" si="51"/>
        <v>13391</v>
      </c>
      <c r="BE11" s="659">
        <f t="shared" si="51"/>
        <v>13391</v>
      </c>
      <c r="BF11" s="659">
        <f t="shared" si="51"/>
        <v>13391</v>
      </c>
      <c r="BG11" s="659">
        <f t="shared" ref="BG11:BV11" si="52">BF11</f>
        <v>13391</v>
      </c>
      <c r="BH11" s="659">
        <f t="shared" si="52"/>
        <v>13391</v>
      </c>
      <c r="BI11" s="659">
        <f t="shared" si="52"/>
        <v>13391</v>
      </c>
      <c r="BJ11" s="659">
        <f t="shared" si="52"/>
        <v>13391</v>
      </c>
      <c r="BK11" s="659">
        <f t="shared" si="52"/>
        <v>13391</v>
      </c>
      <c r="BL11" s="659">
        <f t="shared" si="52"/>
        <v>13391</v>
      </c>
      <c r="BM11" s="659">
        <f t="shared" si="52"/>
        <v>13391</v>
      </c>
      <c r="BN11" s="659">
        <f t="shared" si="52"/>
        <v>13391</v>
      </c>
      <c r="BO11" s="659">
        <f t="shared" si="52"/>
        <v>13391</v>
      </c>
      <c r="BP11" s="659">
        <f t="shared" si="52"/>
        <v>13391</v>
      </c>
      <c r="BQ11" s="659">
        <f t="shared" si="52"/>
        <v>13391</v>
      </c>
      <c r="BR11" s="659">
        <f t="shared" si="52"/>
        <v>13391</v>
      </c>
      <c r="BS11" s="659">
        <f t="shared" si="52"/>
        <v>13391</v>
      </c>
      <c r="BT11" s="659">
        <f t="shared" si="52"/>
        <v>13391</v>
      </c>
      <c r="BU11" s="659">
        <f t="shared" si="52"/>
        <v>13391</v>
      </c>
      <c r="BV11" s="659">
        <f t="shared" si="52"/>
        <v>13391</v>
      </c>
      <c r="BW11" s="659">
        <f t="shared" ref="BW11:CI11" si="53">BV11</f>
        <v>13391</v>
      </c>
      <c r="BX11" s="659">
        <f t="shared" si="53"/>
        <v>13391</v>
      </c>
      <c r="BY11" s="659">
        <f t="shared" si="53"/>
        <v>13391</v>
      </c>
      <c r="BZ11" s="659">
        <f t="shared" si="53"/>
        <v>13391</v>
      </c>
      <c r="CA11" s="659">
        <f t="shared" si="53"/>
        <v>13391</v>
      </c>
      <c r="CB11" s="659">
        <f t="shared" si="53"/>
        <v>13391</v>
      </c>
      <c r="CC11" s="659">
        <f t="shared" si="53"/>
        <v>13391</v>
      </c>
      <c r="CD11" s="659">
        <f t="shared" si="53"/>
        <v>13391</v>
      </c>
      <c r="CE11" s="659">
        <f t="shared" si="53"/>
        <v>13391</v>
      </c>
      <c r="CF11" s="659">
        <f t="shared" si="53"/>
        <v>13391</v>
      </c>
      <c r="CG11" s="659">
        <f t="shared" si="53"/>
        <v>13391</v>
      </c>
      <c r="CH11" s="659">
        <f t="shared" si="53"/>
        <v>13391</v>
      </c>
      <c r="CI11" s="659">
        <f t="shared" si="53"/>
        <v>13391</v>
      </c>
    </row>
    <row r="12" spans="1:87" x14ac:dyDescent="0.25">
      <c r="A12" s="131">
        <v>10</v>
      </c>
      <c r="B12" s="649">
        <v>14.23</v>
      </c>
      <c r="C12" s="649">
        <v>5.59</v>
      </c>
      <c r="D12" s="649">
        <v>4.9179000000000004</v>
      </c>
      <c r="E12" s="649">
        <v>0.62</v>
      </c>
      <c r="F12" s="650">
        <f t="shared" ref="F12:F21" si="54">E12+D12+C12+B12</f>
        <v>25.357900000000001</v>
      </c>
      <c r="G12" s="650"/>
      <c r="H12" s="650"/>
      <c r="J12" s="658" t="s">
        <v>2463</v>
      </c>
      <c r="K12" s="659">
        <f>B7</f>
        <v>11289</v>
      </c>
      <c r="L12" s="659">
        <f>K12</f>
        <v>11289</v>
      </c>
      <c r="M12" s="659">
        <f t="shared" ref="M12:AP12" si="55">L12</f>
        <v>11289</v>
      </c>
      <c r="N12" s="659">
        <f t="shared" si="55"/>
        <v>11289</v>
      </c>
      <c r="O12" s="659">
        <f t="shared" si="55"/>
        <v>11289</v>
      </c>
      <c r="P12" s="659">
        <f t="shared" si="55"/>
        <v>11289</v>
      </c>
      <c r="Q12" s="659">
        <f t="shared" si="55"/>
        <v>11289</v>
      </c>
      <c r="R12" s="659">
        <f t="shared" si="55"/>
        <v>11289</v>
      </c>
      <c r="S12" s="659">
        <f t="shared" si="55"/>
        <v>11289</v>
      </c>
      <c r="T12" s="659">
        <f t="shared" si="55"/>
        <v>11289</v>
      </c>
      <c r="U12" s="659">
        <f t="shared" si="55"/>
        <v>11289</v>
      </c>
      <c r="V12" s="659">
        <f t="shared" si="55"/>
        <v>11289</v>
      </c>
      <c r="W12" s="659">
        <f t="shared" si="55"/>
        <v>11289</v>
      </c>
      <c r="X12" s="659">
        <f t="shared" si="55"/>
        <v>11289</v>
      </c>
      <c r="Y12" s="659">
        <f t="shared" si="55"/>
        <v>11289</v>
      </c>
      <c r="Z12" s="659">
        <f t="shared" si="55"/>
        <v>11289</v>
      </c>
      <c r="AA12" s="659">
        <f t="shared" si="55"/>
        <v>11289</v>
      </c>
      <c r="AB12" s="659">
        <f t="shared" si="55"/>
        <v>11289</v>
      </c>
      <c r="AC12" s="659">
        <f t="shared" si="55"/>
        <v>11289</v>
      </c>
      <c r="AD12" s="659">
        <f t="shared" si="55"/>
        <v>11289</v>
      </c>
      <c r="AE12" s="659">
        <f t="shared" si="55"/>
        <v>11289</v>
      </c>
      <c r="AF12" s="659">
        <f t="shared" si="55"/>
        <v>11289</v>
      </c>
      <c r="AG12" s="659">
        <f t="shared" si="55"/>
        <v>11289</v>
      </c>
      <c r="AH12" s="659">
        <f t="shared" si="55"/>
        <v>11289</v>
      </c>
      <c r="AI12" s="659">
        <f t="shared" si="55"/>
        <v>11289</v>
      </c>
      <c r="AJ12" s="659">
        <f t="shared" si="55"/>
        <v>11289</v>
      </c>
      <c r="AK12" s="659">
        <f t="shared" si="55"/>
        <v>11289</v>
      </c>
      <c r="AL12" s="659">
        <f t="shared" si="55"/>
        <v>11289</v>
      </c>
      <c r="AM12" s="659">
        <f t="shared" si="55"/>
        <v>11289</v>
      </c>
      <c r="AN12" s="659">
        <f t="shared" si="55"/>
        <v>11289</v>
      </c>
      <c r="AO12" s="659">
        <f t="shared" si="55"/>
        <v>11289</v>
      </c>
      <c r="AP12" s="659">
        <f t="shared" si="55"/>
        <v>11289</v>
      </c>
      <c r="AQ12" s="659">
        <f t="shared" ref="AQ12:BF12" si="56">AP12</f>
        <v>11289</v>
      </c>
      <c r="AR12" s="659">
        <f t="shared" si="56"/>
        <v>11289</v>
      </c>
      <c r="AS12" s="659">
        <f t="shared" si="56"/>
        <v>11289</v>
      </c>
      <c r="AT12" s="659">
        <f t="shared" si="56"/>
        <v>11289</v>
      </c>
      <c r="AU12" s="659">
        <f t="shared" si="56"/>
        <v>11289</v>
      </c>
      <c r="AV12" s="659">
        <f t="shared" si="56"/>
        <v>11289</v>
      </c>
      <c r="AW12" s="659">
        <f t="shared" si="56"/>
        <v>11289</v>
      </c>
      <c r="AX12" s="659">
        <f t="shared" si="56"/>
        <v>11289</v>
      </c>
      <c r="AY12" s="659">
        <f t="shared" si="56"/>
        <v>11289</v>
      </c>
      <c r="AZ12" s="659">
        <f t="shared" si="56"/>
        <v>11289</v>
      </c>
      <c r="BA12" s="659">
        <f t="shared" si="56"/>
        <v>11289</v>
      </c>
      <c r="BB12" s="659">
        <f t="shared" si="56"/>
        <v>11289</v>
      </c>
      <c r="BC12" s="659">
        <f t="shared" si="56"/>
        <v>11289</v>
      </c>
      <c r="BD12" s="659">
        <f t="shared" si="56"/>
        <v>11289</v>
      </c>
      <c r="BE12" s="659">
        <f t="shared" si="56"/>
        <v>11289</v>
      </c>
      <c r="BF12" s="659">
        <f t="shared" si="56"/>
        <v>11289</v>
      </c>
      <c r="BG12" s="659">
        <f t="shared" ref="BG12:BV12" si="57">BF12</f>
        <v>11289</v>
      </c>
      <c r="BH12" s="659">
        <f t="shared" si="57"/>
        <v>11289</v>
      </c>
      <c r="BI12" s="659">
        <f t="shared" si="57"/>
        <v>11289</v>
      </c>
      <c r="BJ12" s="659">
        <f t="shared" si="57"/>
        <v>11289</v>
      </c>
      <c r="BK12" s="659">
        <f t="shared" si="57"/>
        <v>11289</v>
      </c>
      <c r="BL12" s="659">
        <f t="shared" si="57"/>
        <v>11289</v>
      </c>
      <c r="BM12" s="659">
        <f t="shared" si="57"/>
        <v>11289</v>
      </c>
      <c r="BN12" s="659">
        <f t="shared" si="57"/>
        <v>11289</v>
      </c>
      <c r="BO12" s="659">
        <f t="shared" si="57"/>
        <v>11289</v>
      </c>
      <c r="BP12" s="659">
        <f t="shared" si="57"/>
        <v>11289</v>
      </c>
      <c r="BQ12" s="659">
        <f t="shared" si="57"/>
        <v>11289</v>
      </c>
      <c r="BR12" s="659">
        <f t="shared" si="57"/>
        <v>11289</v>
      </c>
      <c r="BS12" s="659">
        <f t="shared" si="57"/>
        <v>11289</v>
      </c>
      <c r="BT12" s="659">
        <f t="shared" si="57"/>
        <v>11289</v>
      </c>
      <c r="BU12" s="659">
        <f t="shared" si="57"/>
        <v>11289</v>
      </c>
      <c r="BV12" s="659">
        <f t="shared" si="57"/>
        <v>11289</v>
      </c>
      <c r="BW12" s="659">
        <f t="shared" ref="BW12:CI12" si="58">BV12</f>
        <v>11289</v>
      </c>
      <c r="BX12" s="659">
        <f t="shared" si="58"/>
        <v>11289</v>
      </c>
      <c r="BY12" s="659">
        <f t="shared" si="58"/>
        <v>11289</v>
      </c>
      <c r="BZ12" s="659">
        <f t="shared" si="58"/>
        <v>11289</v>
      </c>
      <c r="CA12" s="659">
        <f t="shared" si="58"/>
        <v>11289</v>
      </c>
      <c r="CB12" s="659">
        <f t="shared" si="58"/>
        <v>11289</v>
      </c>
      <c r="CC12" s="659">
        <f t="shared" si="58"/>
        <v>11289</v>
      </c>
      <c r="CD12" s="659">
        <f t="shared" si="58"/>
        <v>11289</v>
      </c>
      <c r="CE12" s="659">
        <f t="shared" si="58"/>
        <v>11289</v>
      </c>
      <c r="CF12" s="659">
        <f t="shared" si="58"/>
        <v>11289</v>
      </c>
      <c r="CG12" s="659">
        <f t="shared" si="58"/>
        <v>11289</v>
      </c>
      <c r="CH12" s="659">
        <f t="shared" si="58"/>
        <v>11289</v>
      </c>
      <c r="CI12" s="659">
        <f t="shared" si="58"/>
        <v>11289</v>
      </c>
    </row>
    <row r="13" spans="1:87" x14ac:dyDescent="0.25">
      <c r="A13" s="131">
        <v>9</v>
      </c>
      <c r="B13" s="385">
        <v>13.49</v>
      </c>
      <c r="C13" s="385">
        <v>5.24</v>
      </c>
      <c r="D13" s="385">
        <v>4.5202</v>
      </c>
      <c r="E13" s="385">
        <v>0.56999999999999995</v>
      </c>
      <c r="F13" s="650">
        <f t="shared" si="54"/>
        <v>23.8202</v>
      </c>
      <c r="G13" s="650"/>
      <c r="H13" s="650"/>
      <c r="J13" s="658" t="s">
        <v>2464</v>
      </c>
      <c r="K13" s="659">
        <f>B8</f>
        <v>1397</v>
      </c>
      <c r="L13" s="659">
        <f>K13</f>
        <v>1397</v>
      </c>
      <c r="M13" s="659">
        <f t="shared" ref="M13:AP13" si="59">L13</f>
        <v>1397</v>
      </c>
      <c r="N13" s="659">
        <f t="shared" si="59"/>
        <v>1397</v>
      </c>
      <c r="O13" s="659">
        <f t="shared" si="59"/>
        <v>1397</v>
      </c>
      <c r="P13" s="659">
        <f t="shared" si="59"/>
        <v>1397</v>
      </c>
      <c r="Q13" s="659">
        <f t="shared" si="59"/>
        <v>1397</v>
      </c>
      <c r="R13" s="659">
        <f t="shared" si="59"/>
        <v>1397</v>
      </c>
      <c r="S13" s="659">
        <f t="shared" si="59"/>
        <v>1397</v>
      </c>
      <c r="T13" s="659">
        <f t="shared" si="59"/>
        <v>1397</v>
      </c>
      <c r="U13" s="659">
        <f t="shared" si="59"/>
        <v>1397</v>
      </c>
      <c r="V13" s="659">
        <f t="shared" si="59"/>
        <v>1397</v>
      </c>
      <c r="W13" s="659">
        <f t="shared" si="59"/>
        <v>1397</v>
      </c>
      <c r="X13" s="659">
        <f t="shared" si="59"/>
        <v>1397</v>
      </c>
      <c r="Y13" s="659">
        <f t="shared" si="59"/>
        <v>1397</v>
      </c>
      <c r="Z13" s="659">
        <f t="shared" si="59"/>
        <v>1397</v>
      </c>
      <c r="AA13" s="659">
        <f t="shared" si="59"/>
        <v>1397</v>
      </c>
      <c r="AB13" s="659">
        <f t="shared" si="59"/>
        <v>1397</v>
      </c>
      <c r="AC13" s="659">
        <f t="shared" si="59"/>
        <v>1397</v>
      </c>
      <c r="AD13" s="659">
        <f t="shared" si="59"/>
        <v>1397</v>
      </c>
      <c r="AE13" s="659">
        <f t="shared" si="59"/>
        <v>1397</v>
      </c>
      <c r="AF13" s="659">
        <f t="shared" si="59"/>
        <v>1397</v>
      </c>
      <c r="AG13" s="659">
        <f t="shared" si="59"/>
        <v>1397</v>
      </c>
      <c r="AH13" s="659">
        <f t="shared" si="59"/>
        <v>1397</v>
      </c>
      <c r="AI13" s="659">
        <f t="shared" si="59"/>
        <v>1397</v>
      </c>
      <c r="AJ13" s="659">
        <f t="shared" si="59"/>
        <v>1397</v>
      </c>
      <c r="AK13" s="659">
        <f t="shared" si="59"/>
        <v>1397</v>
      </c>
      <c r="AL13" s="659">
        <f t="shared" si="59"/>
        <v>1397</v>
      </c>
      <c r="AM13" s="659">
        <f t="shared" si="59"/>
        <v>1397</v>
      </c>
      <c r="AN13" s="659">
        <f t="shared" si="59"/>
        <v>1397</v>
      </c>
      <c r="AO13" s="659">
        <f t="shared" si="59"/>
        <v>1397</v>
      </c>
      <c r="AP13" s="659">
        <f t="shared" si="59"/>
        <v>1397</v>
      </c>
      <c r="AQ13" s="659">
        <f t="shared" ref="AQ13:BF13" si="60">AP13</f>
        <v>1397</v>
      </c>
      <c r="AR13" s="659">
        <f t="shared" si="60"/>
        <v>1397</v>
      </c>
      <c r="AS13" s="659">
        <f t="shared" si="60"/>
        <v>1397</v>
      </c>
      <c r="AT13" s="659">
        <f t="shared" si="60"/>
        <v>1397</v>
      </c>
      <c r="AU13" s="659">
        <f t="shared" si="60"/>
        <v>1397</v>
      </c>
      <c r="AV13" s="659">
        <f t="shared" si="60"/>
        <v>1397</v>
      </c>
      <c r="AW13" s="659">
        <f t="shared" si="60"/>
        <v>1397</v>
      </c>
      <c r="AX13" s="659">
        <f t="shared" si="60"/>
        <v>1397</v>
      </c>
      <c r="AY13" s="659">
        <f t="shared" si="60"/>
        <v>1397</v>
      </c>
      <c r="AZ13" s="659">
        <f t="shared" si="60"/>
        <v>1397</v>
      </c>
      <c r="BA13" s="659">
        <f t="shared" si="60"/>
        <v>1397</v>
      </c>
      <c r="BB13" s="659">
        <f t="shared" si="60"/>
        <v>1397</v>
      </c>
      <c r="BC13" s="659">
        <f t="shared" si="60"/>
        <v>1397</v>
      </c>
      <c r="BD13" s="659">
        <f t="shared" si="60"/>
        <v>1397</v>
      </c>
      <c r="BE13" s="659">
        <f t="shared" si="60"/>
        <v>1397</v>
      </c>
      <c r="BF13" s="659">
        <f t="shared" si="60"/>
        <v>1397</v>
      </c>
      <c r="BG13" s="659">
        <f t="shared" ref="BG13:BV13" si="61">BF13</f>
        <v>1397</v>
      </c>
      <c r="BH13" s="659">
        <f t="shared" si="61"/>
        <v>1397</v>
      </c>
      <c r="BI13" s="659">
        <f t="shared" si="61"/>
        <v>1397</v>
      </c>
      <c r="BJ13" s="659">
        <f t="shared" si="61"/>
        <v>1397</v>
      </c>
      <c r="BK13" s="659">
        <f t="shared" si="61"/>
        <v>1397</v>
      </c>
      <c r="BL13" s="659">
        <f t="shared" si="61"/>
        <v>1397</v>
      </c>
      <c r="BM13" s="659">
        <f t="shared" si="61"/>
        <v>1397</v>
      </c>
      <c r="BN13" s="659">
        <f t="shared" si="61"/>
        <v>1397</v>
      </c>
      <c r="BO13" s="659">
        <f t="shared" si="61"/>
        <v>1397</v>
      </c>
      <c r="BP13" s="659">
        <f t="shared" si="61"/>
        <v>1397</v>
      </c>
      <c r="BQ13" s="659">
        <f t="shared" si="61"/>
        <v>1397</v>
      </c>
      <c r="BR13" s="659">
        <f t="shared" si="61"/>
        <v>1397</v>
      </c>
      <c r="BS13" s="659">
        <f t="shared" si="61"/>
        <v>1397</v>
      </c>
      <c r="BT13" s="659">
        <f t="shared" si="61"/>
        <v>1397</v>
      </c>
      <c r="BU13" s="659">
        <f t="shared" si="61"/>
        <v>1397</v>
      </c>
      <c r="BV13" s="659">
        <f t="shared" si="61"/>
        <v>1397</v>
      </c>
      <c r="BW13" s="659">
        <f t="shared" ref="BW13:CI13" si="62">BV13</f>
        <v>1397</v>
      </c>
      <c r="BX13" s="659">
        <f t="shared" si="62"/>
        <v>1397</v>
      </c>
      <c r="BY13" s="659">
        <f t="shared" si="62"/>
        <v>1397</v>
      </c>
      <c r="BZ13" s="659">
        <f t="shared" si="62"/>
        <v>1397</v>
      </c>
      <c r="CA13" s="659">
        <f t="shared" si="62"/>
        <v>1397</v>
      </c>
      <c r="CB13" s="659">
        <f t="shared" si="62"/>
        <v>1397</v>
      </c>
      <c r="CC13" s="659">
        <f t="shared" si="62"/>
        <v>1397</v>
      </c>
      <c r="CD13" s="659">
        <f t="shared" si="62"/>
        <v>1397</v>
      </c>
      <c r="CE13" s="659">
        <f t="shared" si="62"/>
        <v>1397</v>
      </c>
      <c r="CF13" s="659">
        <f t="shared" si="62"/>
        <v>1397</v>
      </c>
      <c r="CG13" s="659">
        <f t="shared" si="62"/>
        <v>1397</v>
      </c>
      <c r="CH13" s="659">
        <f t="shared" si="62"/>
        <v>1397</v>
      </c>
      <c r="CI13" s="659">
        <f t="shared" si="62"/>
        <v>1397</v>
      </c>
    </row>
    <row r="14" spans="1:87" x14ac:dyDescent="0.25">
      <c r="A14" s="131">
        <v>8</v>
      </c>
      <c r="B14" s="649">
        <v>12.74</v>
      </c>
      <c r="C14" s="649">
        <v>4.8899999999999997</v>
      </c>
      <c r="D14" s="649">
        <v>4.1224999999999996</v>
      </c>
      <c r="E14" s="649">
        <v>0.51</v>
      </c>
      <c r="F14" s="650">
        <f t="shared" si="54"/>
        <v>22.262499999999999</v>
      </c>
      <c r="G14" s="650"/>
      <c r="H14" s="650"/>
      <c r="J14" s="658" t="s">
        <v>2473</v>
      </c>
      <c r="K14" s="659">
        <f>B5</f>
        <v>34888</v>
      </c>
      <c r="L14" s="664">
        <f>B25</f>
        <v>34107</v>
      </c>
      <c r="M14" s="659">
        <f t="shared" ref="M14:AP14" si="63">L14</f>
        <v>34107</v>
      </c>
      <c r="N14" s="659">
        <f t="shared" si="63"/>
        <v>34107</v>
      </c>
      <c r="O14" s="659">
        <f t="shared" si="63"/>
        <v>34107</v>
      </c>
      <c r="P14" s="659">
        <f t="shared" si="63"/>
        <v>34107</v>
      </c>
      <c r="Q14" s="659">
        <f t="shared" si="63"/>
        <v>34107</v>
      </c>
      <c r="R14" s="659">
        <f t="shared" si="63"/>
        <v>34107</v>
      </c>
      <c r="S14" s="659">
        <f t="shared" si="63"/>
        <v>34107</v>
      </c>
      <c r="T14" s="659">
        <f t="shared" si="63"/>
        <v>34107</v>
      </c>
      <c r="U14" s="659">
        <f t="shared" si="63"/>
        <v>34107</v>
      </c>
      <c r="V14" s="659">
        <f t="shared" si="63"/>
        <v>34107</v>
      </c>
      <c r="W14" s="659">
        <f t="shared" si="63"/>
        <v>34107</v>
      </c>
      <c r="X14" s="659">
        <f t="shared" si="63"/>
        <v>34107</v>
      </c>
      <c r="Y14" s="659">
        <f t="shared" si="63"/>
        <v>34107</v>
      </c>
      <c r="Z14" s="659">
        <f t="shared" si="63"/>
        <v>34107</v>
      </c>
      <c r="AA14" s="659">
        <f t="shared" si="63"/>
        <v>34107</v>
      </c>
      <c r="AB14" s="659">
        <f t="shared" si="63"/>
        <v>34107</v>
      </c>
      <c r="AC14" s="659">
        <f t="shared" si="63"/>
        <v>34107</v>
      </c>
      <c r="AD14" s="659">
        <f t="shared" si="63"/>
        <v>34107</v>
      </c>
      <c r="AE14" s="659">
        <f t="shared" si="63"/>
        <v>34107</v>
      </c>
      <c r="AF14" s="659">
        <f t="shared" si="63"/>
        <v>34107</v>
      </c>
      <c r="AG14" s="659">
        <f t="shared" si="63"/>
        <v>34107</v>
      </c>
      <c r="AH14" s="659">
        <f t="shared" si="63"/>
        <v>34107</v>
      </c>
      <c r="AI14" s="659">
        <f t="shared" si="63"/>
        <v>34107</v>
      </c>
      <c r="AJ14" s="659">
        <f t="shared" si="63"/>
        <v>34107</v>
      </c>
      <c r="AK14" s="659">
        <f t="shared" si="63"/>
        <v>34107</v>
      </c>
      <c r="AL14" s="659">
        <f t="shared" si="63"/>
        <v>34107</v>
      </c>
      <c r="AM14" s="659">
        <f t="shared" si="63"/>
        <v>34107</v>
      </c>
      <c r="AN14" s="659">
        <f t="shared" si="63"/>
        <v>34107</v>
      </c>
      <c r="AO14" s="659">
        <f t="shared" si="63"/>
        <v>34107</v>
      </c>
      <c r="AP14" s="659">
        <f t="shared" si="63"/>
        <v>34107</v>
      </c>
      <c r="AQ14" s="659">
        <f t="shared" ref="AQ14:BF14" si="64">AP14</f>
        <v>34107</v>
      </c>
      <c r="AR14" s="659">
        <f t="shared" si="64"/>
        <v>34107</v>
      </c>
      <c r="AS14" s="659">
        <f t="shared" si="64"/>
        <v>34107</v>
      </c>
      <c r="AT14" s="659">
        <f t="shared" si="64"/>
        <v>34107</v>
      </c>
      <c r="AU14" s="659">
        <f t="shared" si="64"/>
        <v>34107</v>
      </c>
      <c r="AV14" s="659">
        <f t="shared" si="64"/>
        <v>34107</v>
      </c>
      <c r="AW14" s="659">
        <f t="shared" si="64"/>
        <v>34107</v>
      </c>
      <c r="AX14" s="659">
        <f t="shared" si="64"/>
        <v>34107</v>
      </c>
      <c r="AY14" s="659">
        <f t="shared" si="64"/>
        <v>34107</v>
      </c>
      <c r="AZ14" s="659">
        <f t="shared" si="64"/>
        <v>34107</v>
      </c>
      <c r="BA14" s="659">
        <f t="shared" si="64"/>
        <v>34107</v>
      </c>
      <c r="BB14" s="659">
        <f t="shared" si="64"/>
        <v>34107</v>
      </c>
      <c r="BC14" s="659">
        <f t="shared" si="64"/>
        <v>34107</v>
      </c>
      <c r="BD14" s="659">
        <f t="shared" si="64"/>
        <v>34107</v>
      </c>
      <c r="BE14" s="659">
        <f t="shared" si="64"/>
        <v>34107</v>
      </c>
      <c r="BF14" s="659">
        <f t="shared" si="64"/>
        <v>34107</v>
      </c>
      <c r="BG14" s="659">
        <f t="shared" ref="BG14:BV14" si="65">BF14</f>
        <v>34107</v>
      </c>
      <c r="BH14" s="659">
        <f t="shared" si="65"/>
        <v>34107</v>
      </c>
      <c r="BI14" s="659">
        <f t="shared" si="65"/>
        <v>34107</v>
      </c>
      <c r="BJ14" s="659">
        <f t="shared" si="65"/>
        <v>34107</v>
      </c>
      <c r="BK14" s="659">
        <f t="shared" si="65"/>
        <v>34107</v>
      </c>
      <c r="BL14" s="659">
        <f t="shared" si="65"/>
        <v>34107</v>
      </c>
      <c r="BM14" s="659">
        <f t="shared" si="65"/>
        <v>34107</v>
      </c>
      <c r="BN14" s="659">
        <f t="shared" si="65"/>
        <v>34107</v>
      </c>
      <c r="BO14" s="659">
        <f t="shared" si="65"/>
        <v>34107</v>
      </c>
      <c r="BP14" s="659">
        <f t="shared" si="65"/>
        <v>34107</v>
      </c>
      <c r="BQ14" s="659">
        <f t="shared" si="65"/>
        <v>34107</v>
      </c>
      <c r="BR14" s="659">
        <f t="shared" si="65"/>
        <v>34107</v>
      </c>
      <c r="BS14" s="659">
        <f t="shared" si="65"/>
        <v>34107</v>
      </c>
      <c r="BT14" s="659">
        <f t="shared" si="65"/>
        <v>34107</v>
      </c>
      <c r="BU14" s="659">
        <f t="shared" si="65"/>
        <v>34107</v>
      </c>
      <c r="BV14" s="659">
        <f t="shared" si="65"/>
        <v>34107</v>
      </c>
      <c r="BW14" s="659">
        <f t="shared" ref="BW14:CI14" si="66">BV14</f>
        <v>34107</v>
      </c>
      <c r="BX14" s="659">
        <f t="shared" si="66"/>
        <v>34107</v>
      </c>
      <c r="BY14" s="659">
        <f t="shared" si="66"/>
        <v>34107</v>
      </c>
      <c r="BZ14" s="659">
        <f t="shared" si="66"/>
        <v>34107</v>
      </c>
      <c r="CA14" s="659">
        <f t="shared" si="66"/>
        <v>34107</v>
      </c>
      <c r="CB14" s="659">
        <f t="shared" si="66"/>
        <v>34107</v>
      </c>
      <c r="CC14" s="659">
        <f t="shared" si="66"/>
        <v>34107</v>
      </c>
      <c r="CD14" s="659">
        <f t="shared" si="66"/>
        <v>34107</v>
      </c>
      <c r="CE14" s="659">
        <f t="shared" si="66"/>
        <v>34107</v>
      </c>
      <c r="CF14" s="659">
        <f t="shared" si="66"/>
        <v>34107</v>
      </c>
      <c r="CG14" s="659">
        <f t="shared" si="66"/>
        <v>34107</v>
      </c>
      <c r="CH14" s="659">
        <f t="shared" si="66"/>
        <v>34107</v>
      </c>
      <c r="CI14" s="659">
        <f t="shared" si="66"/>
        <v>34107</v>
      </c>
    </row>
    <row r="15" spans="1:87" x14ac:dyDescent="0.25">
      <c r="A15" s="131">
        <v>7</v>
      </c>
      <c r="B15" s="385">
        <v>12</v>
      </c>
      <c r="C15" s="385">
        <v>4.53</v>
      </c>
      <c r="D15" s="385">
        <v>3.7247999999999997</v>
      </c>
      <c r="E15" s="385">
        <v>0.46</v>
      </c>
      <c r="F15" s="650">
        <f t="shared" si="54"/>
        <v>20.7148</v>
      </c>
      <c r="G15" s="650"/>
      <c r="H15" s="650"/>
      <c r="J15" s="658" t="s">
        <v>2474</v>
      </c>
      <c r="K15" s="659">
        <f>B6</f>
        <v>13391</v>
      </c>
      <c r="L15" s="664">
        <f>B26</f>
        <v>13092</v>
      </c>
      <c r="M15" s="659">
        <f t="shared" ref="M15:AP15" si="67">L15</f>
        <v>13092</v>
      </c>
      <c r="N15" s="659">
        <f t="shared" si="67"/>
        <v>13092</v>
      </c>
      <c r="O15" s="659">
        <f t="shared" si="67"/>
        <v>13092</v>
      </c>
      <c r="P15" s="659">
        <f t="shared" si="67"/>
        <v>13092</v>
      </c>
      <c r="Q15" s="659">
        <f t="shared" si="67"/>
        <v>13092</v>
      </c>
      <c r="R15" s="659">
        <f t="shared" si="67"/>
        <v>13092</v>
      </c>
      <c r="S15" s="659">
        <f t="shared" si="67"/>
        <v>13092</v>
      </c>
      <c r="T15" s="659">
        <f t="shared" si="67"/>
        <v>13092</v>
      </c>
      <c r="U15" s="659">
        <f t="shared" si="67"/>
        <v>13092</v>
      </c>
      <c r="V15" s="659">
        <f t="shared" si="67"/>
        <v>13092</v>
      </c>
      <c r="W15" s="659">
        <f t="shared" si="67"/>
        <v>13092</v>
      </c>
      <c r="X15" s="659">
        <f t="shared" si="67"/>
        <v>13092</v>
      </c>
      <c r="Y15" s="659">
        <f t="shared" si="67"/>
        <v>13092</v>
      </c>
      <c r="Z15" s="659">
        <f t="shared" si="67"/>
        <v>13092</v>
      </c>
      <c r="AA15" s="659">
        <f t="shared" si="67"/>
        <v>13092</v>
      </c>
      <c r="AB15" s="659">
        <f t="shared" si="67"/>
        <v>13092</v>
      </c>
      <c r="AC15" s="659">
        <f t="shared" si="67"/>
        <v>13092</v>
      </c>
      <c r="AD15" s="659">
        <f t="shared" si="67"/>
        <v>13092</v>
      </c>
      <c r="AE15" s="659">
        <f t="shared" si="67"/>
        <v>13092</v>
      </c>
      <c r="AF15" s="659">
        <f t="shared" si="67"/>
        <v>13092</v>
      </c>
      <c r="AG15" s="659">
        <f t="shared" si="67"/>
        <v>13092</v>
      </c>
      <c r="AH15" s="659">
        <f t="shared" si="67"/>
        <v>13092</v>
      </c>
      <c r="AI15" s="659">
        <f t="shared" si="67"/>
        <v>13092</v>
      </c>
      <c r="AJ15" s="659">
        <f t="shared" si="67"/>
        <v>13092</v>
      </c>
      <c r="AK15" s="659">
        <f t="shared" si="67"/>
        <v>13092</v>
      </c>
      <c r="AL15" s="659">
        <f t="shared" si="67"/>
        <v>13092</v>
      </c>
      <c r="AM15" s="659">
        <f t="shared" si="67"/>
        <v>13092</v>
      </c>
      <c r="AN15" s="659">
        <f t="shared" si="67"/>
        <v>13092</v>
      </c>
      <c r="AO15" s="659">
        <f t="shared" si="67"/>
        <v>13092</v>
      </c>
      <c r="AP15" s="659">
        <f t="shared" si="67"/>
        <v>13092</v>
      </c>
      <c r="AQ15" s="659">
        <f t="shared" ref="AQ15:BF15" si="68">AP15</f>
        <v>13092</v>
      </c>
      <c r="AR15" s="659">
        <f t="shared" si="68"/>
        <v>13092</v>
      </c>
      <c r="AS15" s="659">
        <f t="shared" si="68"/>
        <v>13092</v>
      </c>
      <c r="AT15" s="659">
        <f t="shared" si="68"/>
        <v>13092</v>
      </c>
      <c r="AU15" s="659">
        <f t="shared" si="68"/>
        <v>13092</v>
      </c>
      <c r="AV15" s="659">
        <f t="shared" si="68"/>
        <v>13092</v>
      </c>
      <c r="AW15" s="659">
        <f t="shared" si="68"/>
        <v>13092</v>
      </c>
      <c r="AX15" s="659">
        <f t="shared" si="68"/>
        <v>13092</v>
      </c>
      <c r="AY15" s="659">
        <f t="shared" si="68"/>
        <v>13092</v>
      </c>
      <c r="AZ15" s="659">
        <f t="shared" si="68"/>
        <v>13092</v>
      </c>
      <c r="BA15" s="659">
        <f t="shared" si="68"/>
        <v>13092</v>
      </c>
      <c r="BB15" s="659">
        <f t="shared" si="68"/>
        <v>13092</v>
      </c>
      <c r="BC15" s="659">
        <f t="shared" si="68"/>
        <v>13092</v>
      </c>
      <c r="BD15" s="659">
        <f t="shared" si="68"/>
        <v>13092</v>
      </c>
      <c r="BE15" s="659">
        <f t="shared" si="68"/>
        <v>13092</v>
      </c>
      <c r="BF15" s="659">
        <f t="shared" si="68"/>
        <v>13092</v>
      </c>
      <c r="BG15" s="659">
        <f t="shared" ref="BG15:BV15" si="69">BF15</f>
        <v>13092</v>
      </c>
      <c r="BH15" s="659">
        <f t="shared" si="69"/>
        <v>13092</v>
      </c>
      <c r="BI15" s="659">
        <f t="shared" si="69"/>
        <v>13092</v>
      </c>
      <c r="BJ15" s="659">
        <f t="shared" si="69"/>
        <v>13092</v>
      </c>
      <c r="BK15" s="659">
        <f t="shared" si="69"/>
        <v>13092</v>
      </c>
      <c r="BL15" s="659">
        <f t="shared" si="69"/>
        <v>13092</v>
      </c>
      <c r="BM15" s="659">
        <f t="shared" si="69"/>
        <v>13092</v>
      </c>
      <c r="BN15" s="659">
        <f t="shared" si="69"/>
        <v>13092</v>
      </c>
      <c r="BO15" s="659">
        <f t="shared" si="69"/>
        <v>13092</v>
      </c>
      <c r="BP15" s="659">
        <f t="shared" si="69"/>
        <v>13092</v>
      </c>
      <c r="BQ15" s="659">
        <f t="shared" si="69"/>
        <v>13092</v>
      </c>
      <c r="BR15" s="659">
        <f t="shared" si="69"/>
        <v>13092</v>
      </c>
      <c r="BS15" s="659">
        <f t="shared" si="69"/>
        <v>13092</v>
      </c>
      <c r="BT15" s="659">
        <f t="shared" si="69"/>
        <v>13092</v>
      </c>
      <c r="BU15" s="659">
        <f t="shared" si="69"/>
        <v>13092</v>
      </c>
      <c r="BV15" s="659">
        <f t="shared" si="69"/>
        <v>13092</v>
      </c>
      <c r="BW15" s="659">
        <f t="shared" ref="BW15:CI15" si="70">BV15</f>
        <v>13092</v>
      </c>
      <c r="BX15" s="659">
        <f t="shared" si="70"/>
        <v>13092</v>
      </c>
      <c r="BY15" s="659">
        <f t="shared" si="70"/>
        <v>13092</v>
      </c>
      <c r="BZ15" s="659">
        <f t="shared" si="70"/>
        <v>13092</v>
      </c>
      <c r="CA15" s="659">
        <f t="shared" si="70"/>
        <v>13092</v>
      </c>
      <c r="CB15" s="659">
        <f t="shared" si="70"/>
        <v>13092</v>
      </c>
      <c r="CC15" s="659">
        <f t="shared" si="70"/>
        <v>13092</v>
      </c>
      <c r="CD15" s="659">
        <f t="shared" si="70"/>
        <v>13092</v>
      </c>
      <c r="CE15" s="659">
        <f t="shared" si="70"/>
        <v>13092</v>
      </c>
      <c r="CF15" s="659">
        <f t="shared" si="70"/>
        <v>13092</v>
      </c>
      <c r="CG15" s="659">
        <f t="shared" si="70"/>
        <v>13092</v>
      </c>
      <c r="CH15" s="659">
        <f t="shared" si="70"/>
        <v>13092</v>
      </c>
      <c r="CI15" s="659">
        <f t="shared" si="70"/>
        <v>13092</v>
      </c>
    </row>
    <row r="16" spans="1:87" x14ac:dyDescent="0.25">
      <c r="A16" s="131">
        <v>6</v>
      </c>
      <c r="B16" s="649">
        <v>11.26</v>
      </c>
      <c r="C16" s="649">
        <v>4.17</v>
      </c>
      <c r="D16" s="649">
        <v>3.3367999999999998</v>
      </c>
      <c r="E16" s="649">
        <v>0.41</v>
      </c>
      <c r="F16" s="650">
        <f t="shared" si="54"/>
        <v>19.1768</v>
      </c>
      <c r="G16" s="650"/>
      <c r="H16" s="650"/>
      <c r="J16" s="658" t="s">
        <v>2475</v>
      </c>
      <c r="K16" s="659">
        <f>B7</f>
        <v>11289</v>
      </c>
      <c r="L16" s="664">
        <f>B27</f>
        <v>11037</v>
      </c>
      <c r="M16" s="659">
        <f t="shared" ref="M16:AP16" si="71">L16</f>
        <v>11037</v>
      </c>
      <c r="N16" s="659">
        <f t="shared" si="71"/>
        <v>11037</v>
      </c>
      <c r="O16" s="659">
        <f t="shared" si="71"/>
        <v>11037</v>
      </c>
      <c r="P16" s="659">
        <f t="shared" si="71"/>
        <v>11037</v>
      </c>
      <c r="Q16" s="659">
        <f t="shared" si="71"/>
        <v>11037</v>
      </c>
      <c r="R16" s="659">
        <f t="shared" si="71"/>
        <v>11037</v>
      </c>
      <c r="S16" s="659">
        <f t="shared" si="71"/>
        <v>11037</v>
      </c>
      <c r="T16" s="659">
        <f t="shared" si="71"/>
        <v>11037</v>
      </c>
      <c r="U16" s="659">
        <f t="shared" si="71"/>
        <v>11037</v>
      </c>
      <c r="V16" s="659">
        <f t="shared" si="71"/>
        <v>11037</v>
      </c>
      <c r="W16" s="659">
        <f t="shared" si="71"/>
        <v>11037</v>
      </c>
      <c r="X16" s="659">
        <f t="shared" si="71"/>
        <v>11037</v>
      </c>
      <c r="Y16" s="659">
        <f t="shared" si="71"/>
        <v>11037</v>
      </c>
      <c r="Z16" s="659">
        <f t="shared" si="71"/>
        <v>11037</v>
      </c>
      <c r="AA16" s="659">
        <f t="shared" si="71"/>
        <v>11037</v>
      </c>
      <c r="AB16" s="659">
        <f t="shared" si="71"/>
        <v>11037</v>
      </c>
      <c r="AC16" s="659">
        <f t="shared" si="71"/>
        <v>11037</v>
      </c>
      <c r="AD16" s="659">
        <f t="shared" si="71"/>
        <v>11037</v>
      </c>
      <c r="AE16" s="659">
        <f t="shared" si="71"/>
        <v>11037</v>
      </c>
      <c r="AF16" s="659">
        <f t="shared" si="71"/>
        <v>11037</v>
      </c>
      <c r="AG16" s="659">
        <f t="shared" si="71"/>
        <v>11037</v>
      </c>
      <c r="AH16" s="659">
        <f t="shared" si="71"/>
        <v>11037</v>
      </c>
      <c r="AI16" s="659">
        <f t="shared" si="71"/>
        <v>11037</v>
      </c>
      <c r="AJ16" s="659">
        <f t="shared" si="71"/>
        <v>11037</v>
      </c>
      <c r="AK16" s="659">
        <f t="shared" si="71"/>
        <v>11037</v>
      </c>
      <c r="AL16" s="659">
        <f t="shared" si="71"/>
        <v>11037</v>
      </c>
      <c r="AM16" s="659">
        <f t="shared" si="71"/>
        <v>11037</v>
      </c>
      <c r="AN16" s="659">
        <f t="shared" si="71"/>
        <v>11037</v>
      </c>
      <c r="AO16" s="659">
        <f t="shared" si="71"/>
        <v>11037</v>
      </c>
      <c r="AP16" s="659">
        <f t="shared" si="71"/>
        <v>11037</v>
      </c>
      <c r="AQ16" s="659">
        <f t="shared" ref="AQ16:BF16" si="72">AP16</f>
        <v>11037</v>
      </c>
      <c r="AR16" s="659">
        <f t="shared" si="72"/>
        <v>11037</v>
      </c>
      <c r="AS16" s="659">
        <f t="shared" si="72"/>
        <v>11037</v>
      </c>
      <c r="AT16" s="659">
        <f t="shared" si="72"/>
        <v>11037</v>
      </c>
      <c r="AU16" s="659">
        <f t="shared" si="72"/>
        <v>11037</v>
      </c>
      <c r="AV16" s="659">
        <f t="shared" si="72"/>
        <v>11037</v>
      </c>
      <c r="AW16" s="659">
        <f t="shared" si="72"/>
        <v>11037</v>
      </c>
      <c r="AX16" s="659">
        <f t="shared" si="72"/>
        <v>11037</v>
      </c>
      <c r="AY16" s="659">
        <f t="shared" si="72"/>
        <v>11037</v>
      </c>
      <c r="AZ16" s="659">
        <f t="shared" si="72"/>
        <v>11037</v>
      </c>
      <c r="BA16" s="659">
        <f t="shared" si="72"/>
        <v>11037</v>
      </c>
      <c r="BB16" s="659">
        <f t="shared" si="72"/>
        <v>11037</v>
      </c>
      <c r="BC16" s="659">
        <f t="shared" si="72"/>
        <v>11037</v>
      </c>
      <c r="BD16" s="659">
        <f t="shared" si="72"/>
        <v>11037</v>
      </c>
      <c r="BE16" s="659">
        <f t="shared" si="72"/>
        <v>11037</v>
      </c>
      <c r="BF16" s="659">
        <f t="shared" si="72"/>
        <v>11037</v>
      </c>
      <c r="BG16" s="659">
        <f t="shared" ref="BG16:BV16" si="73">BF16</f>
        <v>11037</v>
      </c>
      <c r="BH16" s="659">
        <f t="shared" si="73"/>
        <v>11037</v>
      </c>
      <c r="BI16" s="659">
        <f t="shared" si="73"/>
        <v>11037</v>
      </c>
      <c r="BJ16" s="659">
        <f t="shared" si="73"/>
        <v>11037</v>
      </c>
      <c r="BK16" s="659">
        <f t="shared" si="73"/>
        <v>11037</v>
      </c>
      <c r="BL16" s="659">
        <f t="shared" si="73"/>
        <v>11037</v>
      </c>
      <c r="BM16" s="659">
        <f t="shared" si="73"/>
        <v>11037</v>
      </c>
      <c r="BN16" s="659">
        <f t="shared" si="73"/>
        <v>11037</v>
      </c>
      <c r="BO16" s="659">
        <f t="shared" si="73"/>
        <v>11037</v>
      </c>
      <c r="BP16" s="659">
        <f t="shared" si="73"/>
        <v>11037</v>
      </c>
      <c r="BQ16" s="659">
        <f t="shared" si="73"/>
        <v>11037</v>
      </c>
      <c r="BR16" s="659">
        <f t="shared" si="73"/>
        <v>11037</v>
      </c>
      <c r="BS16" s="659">
        <f t="shared" si="73"/>
        <v>11037</v>
      </c>
      <c r="BT16" s="659">
        <f t="shared" si="73"/>
        <v>11037</v>
      </c>
      <c r="BU16" s="659">
        <f t="shared" si="73"/>
        <v>11037</v>
      </c>
      <c r="BV16" s="659">
        <f t="shared" si="73"/>
        <v>11037</v>
      </c>
      <c r="BW16" s="659">
        <f t="shared" ref="BW16:CI16" si="74">BV16</f>
        <v>11037</v>
      </c>
      <c r="BX16" s="659">
        <f t="shared" si="74"/>
        <v>11037</v>
      </c>
      <c r="BY16" s="659">
        <f t="shared" si="74"/>
        <v>11037</v>
      </c>
      <c r="BZ16" s="659">
        <f t="shared" si="74"/>
        <v>11037</v>
      </c>
      <c r="CA16" s="659">
        <f t="shared" si="74"/>
        <v>11037</v>
      </c>
      <c r="CB16" s="659">
        <f t="shared" si="74"/>
        <v>11037</v>
      </c>
      <c r="CC16" s="659">
        <f t="shared" si="74"/>
        <v>11037</v>
      </c>
      <c r="CD16" s="659">
        <f t="shared" si="74"/>
        <v>11037</v>
      </c>
      <c r="CE16" s="659">
        <f t="shared" si="74"/>
        <v>11037</v>
      </c>
      <c r="CF16" s="659">
        <f t="shared" si="74"/>
        <v>11037</v>
      </c>
      <c r="CG16" s="659">
        <f t="shared" si="74"/>
        <v>11037</v>
      </c>
      <c r="CH16" s="659">
        <f t="shared" si="74"/>
        <v>11037</v>
      </c>
      <c r="CI16" s="659">
        <f t="shared" si="74"/>
        <v>11037</v>
      </c>
    </row>
    <row r="17" spans="1:87" x14ac:dyDescent="0.25">
      <c r="A17" s="131">
        <v>5</v>
      </c>
      <c r="B17" s="385">
        <v>10.52</v>
      </c>
      <c r="C17" s="385">
        <v>3.81</v>
      </c>
      <c r="D17" s="385">
        <v>2.9390999999999998</v>
      </c>
      <c r="E17" s="385">
        <v>0.35</v>
      </c>
      <c r="F17" s="650">
        <f t="shared" si="54"/>
        <v>17.6191</v>
      </c>
      <c r="G17" s="650"/>
      <c r="H17" s="650"/>
      <c r="J17" s="658" t="s">
        <v>2476</v>
      </c>
      <c r="K17" s="659">
        <f>B8</f>
        <v>1397</v>
      </c>
      <c r="L17" s="664">
        <f>B28</f>
        <v>1366</v>
      </c>
      <c r="M17" s="659">
        <f t="shared" ref="M17:AP17" si="75">L17</f>
        <v>1366</v>
      </c>
      <c r="N17" s="659">
        <f t="shared" si="75"/>
        <v>1366</v>
      </c>
      <c r="O17" s="659">
        <f t="shared" si="75"/>
        <v>1366</v>
      </c>
      <c r="P17" s="659">
        <f t="shared" si="75"/>
        <v>1366</v>
      </c>
      <c r="Q17" s="659">
        <f t="shared" si="75"/>
        <v>1366</v>
      </c>
      <c r="R17" s="659">
        <f t="shared" si="75"/>
        <v>1366</v>
      </c>
      <c r="S17" s="659">
        <f t="shared" si="75"/>
        <v>1366</v>
      </c>
      <c r="T17" s="659">
        <f t="shared" si="75"/>
        <v>1366</v>
      </c>
      <c r="U17" s="659">
        <f t="shared" si="75"/>
        <v>1366</v>
      </c>
      <c r="V17" s="659">
        <f t="shared" si="75"/>
        <v>1366</v>
      </c>
      <c r="W17" s="659">
        <f t="shared" si="75"/>
        <v>1366</v>
      </c>
      <c r="X17" s="659">
        <f t="shared" si="75"/>
        <v>1366</v>
      </c>
      <c r="Y17" s="659">
        <f t="shared" si="75"/>
        <v>1366</v>
      </c>
      <c r="Z17" s="659">
        <f t="shared" si="75"/>
        <v>1366</v>
      </c>
      <c r="AA17" s="659">
        <f t="shared" si="75"/>
        <v>1366</v>
      </c>
      <c r="AB17" s="659">
        <f t="shared" si="75"/>
        <v>1366</v>
      </c>
      <c r="AC17" s="659">
        <f t="shared" si="75"/>
        <v>1366</v>
      </c>
      <c r="AD17" s="659">
        <f t="shared" si="75"/>
        <v>1366</v>
      </c>
      <c r="AE17" s="659">
        <f t="shared" si="75"/>
        <v>1366</v>
      </c>
      <c r="AF17" s="659">
        <f t="shared" si="75"/>
        <v>1366</v>
      </c>
      <c r="AG17" s="659">
        <f t="shared" si="75"/>
        <v>1366</v>
      </c>
      <c r="AH17" s="659">
        <f t="shared" si="75"/>
        <v>1366</v>
      </c>
      <c r="AI17" s="659">
        <f t="shared" si="75"/>
        <v>1366</v>
      </c>
      <c r="AJ17" s="659">
        <f t="shared" si="75"/>
        <v>1366</v>
      </c>
      <c r="AK17" s="659">
        <f t="shared" si="75"/>
        <v>1366</v>
      </c>
      <c r="AL17" s="659">
        <f t="shared" si="75"/>
        <v>1366</v>
      </c>
      <c r="AM17" s="659">
        <f t="shared" si="75"/>
        <v>1366</v>
      </c>
      <c r="AN17" s="659">
        <f t="shared" si="75"/>
        <v>1366</v>
      </c>
      <c r="AO17" s="659">
        <f t="shared" si="75"/>
        <v>1366</v>
      </c>
      <c r="AP17" s="659">
        <f t="shared" si="75"/>
        <v>1366</v>
      </c>
      <c r="AQ17" s="659">
        <f t="shared" ref="AQ17:BF17" si="76">AP17</f>
        <v>1366</v>
      </c>
      <c r="AR17" s="659">
        <f t="shared" si="76"/>
        <v>1366</v>
      </c>
      <c r="AS17" s="659">
        <f t="shared" si="76"/>
        <v>1366</v>
      </c>
      <c r="AT17" s="659">
        <f t="shared" si="76"/>
        <v>1366</v>
      </c>
      <c r="AU17" s="659">
        <f t="shared" si="76"/>
        <v>1366</v>
      </c>
      <c r="AV17" s="659">
        <f t="shared" si="76"/>
        <v>1366</v>
      </c>
      <c r="AW17" s="659">
        <f t="shared" si="76"/>
        <v>1366</v>
      </c>
      <c r="AX17" s="659">
        <f t="shared" si="76"/>
        <v>1366</v>
      </c>
      <c r="AY17" s="659">
        <f t="shared" si="76"/>
        <v>1366</v>
      </c>
      <c r="AZ17" s="659">
        <f t="shared" si="76"/>
        <v>1366</v>
      </c>
      <c r="BA17" s="659">
        <f t="shared" si="76"/>
        <v>1366</v>
      </c>
      <c r="BB17" s="659">
        <f t="shared" si="76"/>
        <v>1366</v>
      </c>
      <c r="BC17" s="659">
        <f t="shared" si="76"/>
        <v>1366</v>
      </c>
      <c r="BD17" s="659">
        <f t="shared" si="76"/>
        <v>1366</v>
      </c>
      <c r="BE17" s="659">
        <f t="shared" si="76"/>
        <v>1366</v>
      </c>
      <c r="BF17" s="659">
        <f t="shared" si="76"/>
        <v>1366</v>
      </c>
      <c r="BG17" s="659">
        <f t="shared" ref="BG17:BV17" si="77">BF17</f>
        <v>1366</v>
      </c>
      <c r="BH17" s="659">
        <f t="shared" si="77"/>
        <v>1366</v>
      </c>
      <c r="BI17" s="659">
        <f t="shared" si="77"/>
        <v>1366</v>
      </c>
      <c r="BJ17" s="659">
        <f t="shared" si="77"/>
        <v>1366</v>
      </c>
      <c r="BK17" s="659">
        <f t="shared" si="77"/>
        <v>1366</v>
      </c>
      <c r="BL17" s="659">
        <f t="shared" si="77"/>
        <v>1366</v>
      </c>
      <c r="BM17" s="659">
        <f t="shared" si="77"/>
        <v>1366</v>
      </c>
      <c r="BN17" s="659">
        <f t="shared" si="77"/>
        <v>1366</v>
      </c>
      <c r="BO17" s="659">
        <f t="shared" si="77"/>
        <v>1366</v>
      </c>
      <c r="BP17" s="659">
        <f t="shared" si="77"/>
        <v>1366</v>
      </c>
      <c r="BQ17" s="659">
        <f t="shared" si="77"/>
        <v>1366</v>
      </c>
      <c r="BR17" s="659">
        <f t="shared" si="77"/>
        <v>1366</v>
      </c>
      <c r="BS17" s="659">
        <f t="shared" si="77"/>
        <v>1366</v>
      </c>
      <c r="BT17" s="659">
        <f t="shared" si="77"/>
        <v>1366</v>
      </c>
      <c r="BU17" s="659">
        <f t="shared" si="77"/>
        <v>1366</v>
      </c>
      <c r="BV17" s="659">
        <f t="shared" si="77"/>
        <v>1366</v>
      </c>
      <c r="BW17" s="659">
        <f t="shared" ref="BW17:CI17" si="78">BV17</f>
        <v>1366</v>
      </c>
      <c r="BX17" s="659">
        <f t="shared" si="78"/>
        <v>1366</v>
      </c>
      <c r="BY17" s="659">
        <f t="shared" si="78"/>
        <v>1366</v>
      </c>
      <c r="BZ17" s="659">
        <f t="shared" si="78"/>
        <v>1366</v>
      </c>
      <c r="CA17" s="659">
        <f t="shared" si="78"/>
        <v>1366</v>
      </c>
      <c r="CB17" s="659">
        <f t="shared" si="78"/>
        <v>1366</v>
      </c>
      <c r="CC17" s="659">
        <f t="shared" si="78"/>
        <v>1366</v>
      </c>
      <c r="CD17" s="659">
        <f t="shared" si="78"/>
        <v>1366</v>
      </c>
      <c r="CE17" s="659">
        <f t="shared" si="78"/>
        <v>1366</v>
      </c>
      <c r="CF17" s="659">
        <f t="shared" si="78"/>
        <v>1366</v>
      </c>
      <c r="CG17" s="659">
        <f t="shared" si="78"/>
        <v>1366</v>
      </c>
      <c r="CH17" s="659">
        <f t="shared" si="78"/>
        <v>1366</v>
      </c>
      <c r="CI17" s="659">
        <f t="shared" si="78"/>
        <v>1366</v>
      </c>
    </row>
    <row r="18" spans="1:87" x14ac:dyDescent="0.25">
      <c r="A18" s="131">
        <v>4</v>
      </c>
      <c r="B18" s="649">
        <v>9.8000000000000007</v>
      </c>
      <c r="C18" s="649">
        <v>3.46</v>
      </c>
      <c r="D18" s="649">
        <v>2.5510999999999999</v>
      </c>
      <c r="E18" s="649">
        <v>0.3</v>
      </c>
      <c r="F18" s="650">
        <f t="shared" si="54"/>
        <v>16.1111</v>
      </c>
      <c r="G18" s="650"/>
      <c r="H18" s="650"/>
      <c r="J18" s="668" t="s">
        <v>2465</v>
      </c>
      <c r="K18" s="669">
        <f>IF(K3=1,IF(K10&gt;K6,K6*$E$5,K10*$E$5),0)</f>
        <v>194858.30000000002</v>
      </c>
      <c r="L18" s="669">
        <f t="shared" ref="L18:AP18" si="79">IF(L3=1,IF(L10&gt;L6,L6*$E$5,L10*$E$5),0)</f>
        <v>0</v>
      </c>
      <c r="M18" s="669">
        <f t="shared" si="79"/>
        <v>195928.46</v>
      </c>
      <c r="N18" s="669">
        <f t="shared" si="79"/>
        <v>0</v>
      </c>
      <c r="O18" s="669">
        <f t="shared" si="79"/>
        <v>196998.62</v>
      </c>
      <c r="P18" s="669">
        <f t="shared" si="79"/>
        <v>0</v>
      </c>
      <c r="Q18" s="669">
        <f t="shared" si="79"/>
        <v>198068.78</v>
      </c>
      <c r="R18" s="669">
        <f t="shared" si="79"/>
        <v>0</v>
      </c>
      <c r="S18" s="669">
        <f t="shared" si="79"/>
        <v>199138.94</v>
      </c>
      <c r="T18" s="669">
        <f t="shared" si="79"/>
        <v>0</v>
      </c>
      <c r="U18" s="669">
        <f t="shared" si="79"/>
        <v>200209.1</v>
      </c>
      <c r="V18" s="669">
        <f t="shared" si="79"/>
        <v>0</v>
      </c>
      <c r="W18" s="669">
        <f t="shared" si="79"/>
        <v>0</v>
      </c>
      <c r="X18" s="669">
        <f t="shared" si="79"/>
        <v>0</v>
      </c>
      <c r="Y18" s="669">
        <f t="shared" si="79"/>
        <v>201992.7</v>
      </c>
      <c r="Z18" s="669">
        <f t="shared" si="79"/>
        <v>0</v>
      </c>
      <c r="AA18" s="669">
        <f t="shared" si="79"/>
        <v>202706.14</v>
      </c>
      <c r="AB18" s="669">
        <f t="shared" si="79"/>
        <v>0</v>
      </c>
      <c r="AC18" s="669">
        <f t="shared" si="79"/>
        <v>203419.58</v>
      </c>
      <c r="AD18" s="669">
        <f t="shared" si="79"/>
        <v>0</v>
      </c>
      <c r="AE18" s="669">
        <f t="shared" si="79"/>
        <v>204133.02000000002</v>
      </c>
      <c r="AF18" s="669">
        <f t="shared" si="79"/>
        <v>0</v>
      </c>
      <c r="AG18" s="669">
        <f t="shared" si="79"/>
        <v>204846.46</v>
      </c>
      <c r="AH18" s="669">
        <f t="shared" si="79"/>
        <v>0</v>
      </c>
      <c r="AI18" s="669">
        <f t="shared" si="79"/>
        <v>205559.9</v>
      </c>
      <c r="AJ18" s="669">
        <f t="shared" si="79"/>
        <v>0</v>
      </c>
      <c r="AK18" s="669">
        <f t="shared" si="79"/>
        <v>206273.34</v>
      </c>
      <c r="AL18" s="669">
        <f t="shared" si="79"/>
        <v>0</v>
      </c>
      <c r="AM18" s="669">
        <f t="shared" si="79"/>
        <v>0</v>
      </c>
      <c r="AN18" s="669">
        <f t="shared" si="79"/>
        <v>227685.45800000004</v>
      </c>
      <c r="AO18" s="669">
        <f t="shared" si="79"/>
        <v>0</v>
      </c>
      <c r="AP18" s="669">
        <f t="shared" si="79"/>
        <v>228398.89800000004</v>
      </c>
      <c r="AQ18" s="669">
        <f t="shared" ref="AQ18:BF18" si="80">IF(AQ3=1,IF(AQ10&gt;AQ6,AQ6*$E$5,AQ10*$E$5),0)</f>
        <v>0</v>
      </c>
      <c r="AR18" s="669">
        <f t="shared" si="80"/>
        <v>229112.33800000005</v>
      </c>
      <c r="AS18" s="669">
        <f t="shared" si="80"/>
        <v>0</v>
      </c>
      <c r="AT18" s="669">
        <f t="shared" si="80"/>
        <v>229825.77800000005</v>
      </c>
      <c r="AU18" s="669">
        <f t="shared" si="80"/>
        <v>0</v>
      </c>
      <c r="AV18" s="669">
        <f t="shared" si="80"/>
        <v>230539.21800000005</v>
      </c>
      <c r="AW18" s="669">
        <f t="shared" si="80"/>
        <v>0</v>
      </c>
      <c r="AX18" s="669">
        <f t="shared" si="80"/>
        <v>231252.65800000002</v>
      </c>
      <c r="AY18" s="669">
        <f t="shared" si="80"/>
        <v>0</v>
      </c>
      <c r="AZ18" s="669">
        <f t="shared" si="80"/>
        <v>231966.09800000003</v>
      </c>
      <c r="BA18" s="669">
        <f t="shared" si="80"/>
        <v>0</v>
      </c>
      <c r="BB18" s="669">
        <f t="shared" si="80"/>
        <v>0</v>
      </c>
      <c r="BC18" s="669">
        <f t="shared" si="80"/>
        <v>0</v>
      </c>
      <c r="BD18" s="669">
        <f t="shared" si="80"/>
        <v>233392.97800000006</v>
      </c>
      <c r="BE18" s="669">
        <f t="shared" si="80"/>
        <v>0</v>
      </c>
      <c r="BF18" s="669">
        <f t="shared" si="80"/>
        <v>234106.41800000003</v>
      </c>
      <c r="BG18" s="669">
        <f t="shared" ref="BG18:BV18" si="81">IF(BG3=1,IF(BG10&gt;BG6,BG6*$E$5,BG10*$E$5),0)</f>
        <v>0</v>
      </c>
      <c r="BH18" s="669">
        <f t="shared" si="81"/>
        <v>234819.85800000001</v>
      </c>
      <c r="BI18" s="669">
        <f t="shared" si="81"/>
        <v>0</v>
      </c>
      <c r="BJ18" s="669">
        <f t="shared" si="81"/>
        <v>235533.29800000007</v>
      </c>
      <c r="BK18" s="669">
        <f t="shared" si="81"/>
        <v>0</v>
      </c>
      <c r="BL18" s="669">
        <f t="shared" si="81"/>
        <v>236246.73800000004</v>
      </c>
      <c r="BM18" s="669">
        <f t="shared" si="81"/>
        <v>0</v>
      </c>
      <c r="BN18" s="669">
        <f t="shared" si="81"/>
        <v>236960.17800000004</v>
      </c>
      <c r="BO18" s="669">
        <f t="shared" si="81"/>
        <v>0</v>
      </c>
      <c r="BP18" s="669">
        <f t="shared" si="81"/>
        <v>237673.61800000002</v>
      </c>
      <c r="BQ18" s="669">
        <f t="shared" si="81"/>
        <v>0</v>
      </c>
      <c r="BR18" s="669">
        <f t="shared" si="81"/>
        <v>0</v>
      </c>
      <c r="BS18" s="669">
        <f t="shared" si="81"/>
        <v>0</v>
      </c>
      <c r="BT18" s="669">
        <f t="shared" si="81"/>
        <v>244216</v>
      </c>
      <c r="BU18" s="669">
        <f t="shared" si="81"/>
        <v>0</v>
      </c>
      <c r="BV18" s="669">
        <f t="shared" si="81"/>
        <v>244216</v>
      </c>
      <c r="BW18" s="669">
        <f t="shared" ref="BW18:CI18" si="82">IF(BW3=1,IF(BW10&gt;BW6,BW6*$E$5,BW10*$E$5),0)</f>
        <v>0</v>
      </c>
      <c r="BX18" s="669">
        <f t="shared" si="82"/>
        <v>244216</v>
      </c>
      <c r="BY18" s="669">
        <f t="shared" si="82"/>
        <v>0</v>
      </c>
      <c r="BZ18" s="669">
        <f t="shared" si="82"/>
        <v>244216</v>
      </c>
      <c r="CA18" s="669">
        <f t="shared" si="82"/>
        <v>0</v>
      </c>
      <c r="CB18" s="669">
        <f t="shared" si="82"/>
        <v>244216</v>
      </c>
      <c r="CC18" s="669">
        <f t="shared" si="82"/>
        <v>0</v>
      </c>
      <c r="CD18" s="669">
        <f t="shared" si="82"/>
        <v>244216</v>
      </c>
      <c r="CE18" s="669">
        <f t="shared" si="82"/>
        <v>0</v>
      </c>
      <c r="CF18" s="669">
        <f t="shared" si="82"/>
        <v>244216</v>
      </c>
      <c r="CG18" s="669">
        <f t="shared" si="82"/>
        <v>0</v>
      </c>
      <c r="CH18" s="669">
        <f t="shared" si="82"/>
        <v>0</v>
      </c>
      <c r="CI18" s="669">
        <f t="shared" si="82"/>
        <v>0</v>
      </c>
    </row>
    <row r="19" spans="1:87" x14ac:dyDescent="0.25">
      <c r="A19" s="131">
        <v>3</v>
      </c>
      <c r="B19" s="385">
        <v>9.09</v>
      </c>
      <c r="C19" s="385">
        <v>3.1</v>
      </c>
      <c r="D19" s="385">
        <v>2.1436999999999999</v>
      </c>
      <c r="E19" s="385">
        <v>0.24</v>
      </c>
      <c r="F19" s="650">
        <f t="shared" si="54"/>
        <v>14.573700000000001</v>
      </c>
      <c r="G19" s="650"/>
      <c r="H19" s="650"/>
      <c r="J19" s="668" t="s">
        <v>2466</v>
      </c>
      <c r="K19" s="669">
        <f>IF(K3=1,IF(K11&gt;K7,K7*$E$6,K11*$E$6),0)</f>
        <v>106846.5</v>
      </c>
      <c r="L19" s="669">
        <f t="shared" ref="L19:AP19" si="83">IF(L3=1,IF(L11&gt;L7,L7*$E$6,L11*$E$6),0)</f>
        <v>0</v>
      </c>
      <c r="M19" s="669">
        <f t="shared" si="83"/>
        <v>107433.3</v>
      </c>
      <c r="N19" s="669">
        <f t="shared" si="83"/>
        <v>0</v>
      </c>
      <c r="O19" s="669">
        <f t="shared" si="83"/>
        <v>108020.09999999998</v>
      </c>
      <c r="P19" s="669">
        <f t="shared" si="83"/>
        <v>0</v>
      </c>
      <c r="Q19" s="669">
        <f t="shared" si="83"/>
        <v>108606.9</v>
      </c>
      <c r="R19" s="669">
        <f t="shared" si="83"/>
        <v>0</v>
      </c>
      <c r="S19" s="669">
        <f t="shared" si="83"/>
        <v>109193.69999999998</v>
      </c>
      <c r="T19" s="669">
        <f t="shared" si="83"/>
        <v>0</v>
      </c>
      <c r="U19" s="669">
        <f t="shared" si="83"/>
        <v>109780.5</v>
      </c>
      <c r="V19" s="669">
        <f t="shared" si="83"/>
        <v>0</v>
      </c>
      <c r="W19" s="669">
        <f t="shared" si="83"/>
        <v>0</v>
      </c>
      <c r="X19" s="669">
        <f t="shared" si="83"/>
        <v>0</v>
      </c>
      <c r="Y19" s="669">
        <f t="shared" si="83"/>
        <v>110758.49999999999</v>
      </c>
      <c r="Z19" s="669">
        <f t="shared" si="83"/>
        <v>0</v>
      </c>
      <c r="AA19" s="669">
        <f t="shared" si="83"/>
        <v>111149.7</v>
      </c>
      <c r="AB19" s="669">
        <f t="shared" si="83"/>
        <v>0</v>
      </c>
      <c r="AC19" s="669">
        <f t="shared" si="83"/>
        <v>111540.9</v>
      </c>
      <c r="AD19" s="669">
        <f t="shared" si="83"/>
        <v>0</v>
      </c>
      <c r="AE19" s="669">
        <f t="shared" si="83"/>
        <v>111932.09999999999</v>
      </c>
      <c r="AF19" s="669">
        <f t="shared" si="83"/>
        <v>0</v>
      </c>
      <c r="AG19" s="669">
        <f t="shared" si="83"/>
        <v>112323.3</v>
      </c>
      <c r="AH19" s="669">
        <f t="shared" si="83"/>
        <v>0</v>
      </c>
      <c r="AI19" s="669">
        <f t="shared" si="83"/>
        <v>112714.49999999999</v>
      </c>
      <c r="AJ19" s="669">
        <f t="shared" si="83"/>
        <v>0</v>
      </c>
      <c r="AK19" s="669">
        <f t="shared" si="83"/>
        <v>113105.7</v>
      </c>
      <c r="AL19" s="669">
        <f t="shared" si="83"/>
        <v>0</v>
      </c>
      <c r="AM19" s="669">
        <f t="shared" si="83"/>
        <v>0</v>
      </c>
      <c r="AN19" s="669">
        <f t="shared" si="83"/>
        <v>124846.59000000001</v>
      </c>
      <c r="AO19" s="669">
        <f t="shared" si="83"/>
        <v>0</v>
      </c>
      <c r="AP19" s="669">
        <f t="shared" si="83"/>
        <v>125237.79000000001</v>
      </c>
      <c r="AQ19" s="669">
        <f t="shared" ref="AQ19:BF19" si="84">IF(AQ3=1,IF(AQ11&gt;AQ7,AQ7*$E$6,AQ11*$E$6),0)</f>
        <v>0</v>
      </c>
      <c r="AR19" s="669">
        <f t="shared" si="84"/>
        <v>125628.99000000002</v>
      </c>
      <c r="AS19" s="669">
        <f t="shared" si="84"/>
        <v>0</v>
      </c>
      <c r="AT19" s="669">
        <f t="shared" si="84"/>
        <v>126020.19</v>
      </c>
      <c r="AU19" s="669">
        <f t="shared" si="84"/>
        <v>0</v>
      </c>
      <c r="AV19" s="669">
        <f t="shared" si="84"/>
        <v>126411.39000000001</v>
      </c>
      <c r="AW19" s="669">
        <f t="shared" si="84"/>
        <v>0</v>
      </c>
      <c r="AX19" s="669">
        <f t="shared" si="84"/>
        <v>126802.59000000003</v>
      </c>
      <c r="AY19" s="669">
        <f t="shared" si="84"/>
        <v>0</v>
      </c>
      <c r="AZ19" s="669">
        <f t="shared" si="84"/>
        <v>127193.79000000001</v>
      </c>
      <c r="BA19" s="669">
        <f t="shared" si="84"/>
        <v>0</v>
      </c>
      <c r="BB19" s="669">
        <f t="shared" si="84"/>
        <v>0</v>
      </c>
      <c r="BC19" s="669">
        <f t="shared" si="84"/>
        <v>0</v>
      </c>
      <c r="BD19" s="669">
        <f t="shared" si="84"/>
        <v>127976.19</v>
      </c>
      <c r="BE19" s="669">
        <f t="shared" si="84"/>
        <v>0</v>
      </c>
      <c r="BF19" s="669">
        <f t="shared" si="84"/>
        <v>128367.39000000001</v>
      </c>
      <c r="BG19" s="669">
        <f t="shared" ref="BG19:BV19" si="85">IF(BG3=1,IF(BG11&gt;BG7,BG7*$E$6,BG11*$E$6),0)</f>
        <v>0</v>
      </c>
      <c r="BH19" s="669">
        <f t="shared" si="85"/>
        <v>128758.59</v>
      </c>
      <c r="BI19" s="669">
        <f t="shared" si="85"/>
        <v>0</v>
      </c>
      <c r="BJ19" s="669">
        <f t="shared" si="85"/>
        <v>129149.79000000001</v>
      </c>
      <c r="BK19" s="669">
        <f t="shared" si="85"/>
        <v>0</v>
      </c>
      <c r="BL19" s="669">
        <f t="shared" si="85"/>
        <v>129540.99</v>
      </c>
      <c r="BM19" s="669">
        <f t="shared" si="85"/>
        <v>0</v>
      </c>
      <c r="BN19" s="669">
        <f t="shared" si="85"/>
        <v>129932.19</v>
      </c>
      <c r="BO19" s="669">
        <f t="shared" si="85"/>
        <v>0</v>
      </c>
      <c r="BP19" s="669">
        <f t="shared" si="85"/>
        <v>130323.39000000001</v>
      </c>
      <c r="BQ19" s="669">
        <f t="shared" si="85"/>
        <v>0</v>
      </c>
      <c r="BR19" s="669">
        <f t="shared" si="85"/>
        <v>0</v>
      </c>
      <c r="BS19" s="669">
        <f t="shared" si="85"/>
        <v>0</v>
      </c>
      <c r="BT19" s="669">
        <f t="shared" si="85"/>
        <v>133910</v>
      </c>
      <c r="BU19" s="669">
        <f t="shared" si="85"/>
        <v>0</v>
      </c>
      <c r="BV19" s="669">
        <f t="shared" si="85"/>
        <v>133910</v>
      </c>
      <c r="BW19" s="669">
        <f t="shared" ref="BW19:CI19" si="86">IF(BW3=1,IF(BW11&gt;BW7,BW7*$E$6,BW11*$E$6),0)</f>
        <v>0</v>
      </c>
      <c r="BX19" s="669">
        <f t="shared" si="86"/>
        <v>133910</v>
      </c>
      <c r="BY19" s="669">
        <f t="shared" si="86"/>
        <v>0</v>
      </c>
      <c r="BZ19" s="669">
        <f t="shared" si="86"/>
        <v>133910</v>
      </c>
      <c r="CA19" s="669">
        <f t="shared" si="86"/>
        <v>0</v>
      </c>
      <c r="CB19" s="669">
        <f t="shared" si="86"/>
        <v>133910</v>
      </c>
      <c r="CC19" s="669">
        <f t="shared" si="86"/>
        <v>0</v>
      </c>
      <c r="CD19" s="669">
        <f t="shared" si="86"/>
        <v>133910</v>
      </c>
      <c r="CE19" s="669">
        <f t="shared" si="86"/>
        <v>0</v>
      </c>
      <c r="CF19" s="669">
        <f t="shared" si="86"/>
        <v>133910</v>
      </c>
      <c r="CG19" s="669">
        <f t="shared" si="86"/>
        <v>0</v>
      </c>
      <c r="CH19" s="669">
        <f t="shared" si="86"/>
        <v>0</v>
      </c>
      <c r="CI19" s="669">
        <f t="shared" si="86"/>
        <v>0</v>
      </c>
    </row>
    <row r="20" spans="1:87" x14ac:dyDescent="0.25">
      <c r="A20" s="131">
        <v>2</v>
      </c>
      <c r="B20" s="649">
        <v>8.42</v>
      </c>
      <c r="C20" s="649">
        <v>2.73</v>
      </c>
      <c r="D20" s="649">
        <v>1.7168999999999999</v>
      </c>
      <c r="E20" s="649">
        <v>0.18</v>
      </c>
      <c r="F20" s="650">
        <f t="shared" si="54"/>
        <v>13.046900000000001</v>
      </c>
      <c r="G20" s="650"/>
      <c r="H20" s="650"/>
      <c r="J20" s="668" t="s">
        <v>2467</v>
      </c>
      <c r="K20" s="669">
        <f>IF(K3=1,IF(K12&gt;K8,K8*$E$7,K12*$E$7),0)</f>
        <v>171145.58749999997</v>
      </c>
      <c r="L20" s="669">
        <f t="shared" ref="L20:AP20" si="87">IF(L3=1,IF(L12&gt;L8,L8*$E$7,L12*$E$7),0)</f>
        <v>0</v>
      </c>
      <c r="M20" s="669">
        <f t="shared" si="87"/>
        <v>172085.51749999999</v>
      </c>
      <c r="N20" s="669">
        <f t="shared" si="87"/>
        <v>0</v>
      </c>
      <c r="O20" s="669">
        <f t="shared" si="87"/>
        <v>173025.44749999998</v>
      </c>
      <c r="P20" s="669">
        <f t="shared" si="87"/>
        <v>0</v>
      </c>
      <c r="Q20" s="669">
        <f t="shared" si="87"/>
        <v>173965.37749999997</v>
      </c>
      <c r="R20" s="669">
        <f t="shared" si="87"/>
        <v>0</v>
      </c>
      <c r="S20" s="669">
        <f t="shared" si="87"/>
        <v>174905.3075</v>
      </c>
      <c r="T20" s="669">
        <f t="shared" si="87"/>
        <v>0</v>
      </c>
      <c r="U20" s="669">
        <f t="shared" si="87"/>
        <v>175845.23749999999</v>
      </c>
      <c r="V20" s="669">
        <f t="shared" si="87"/>
        <v>0</v>
      </c>
      <c r="W20" s="669">
        <f t="shared" si="87"/>
        <v>0</v>
      </c>
      <c r="X20" s="669">
        <f t="shared" si="87"/>
        <v>0</v>
      </c>
      <c r="Y20" s="669">
        <f t="shared" si="87"/>
        <v>177411.78750000001</v>
      </c>
      <c r="Z20" s="669">
        <f t="shared" si="87"/>
        <v>0</v>
      </c>
      <c r="AA20" s="669">
        <f t="shared" si="87"/>
        <v>178038.40749999997</v>
      </c>
      <c r="AB20" s="669">
        <f t="shared" si="87"/>
        <v>0</v>
      </c>
      <c r="AC20" s="669">
        <f t="shared" si="87"/>
        <v>178665.02749999997</v>
      </c>
      <c r="AD20" s="669">
        <f t="shared" si="87"/>
        <v>0</v>
      </c>
      <c r="AE20" s="669">
        <f t="shared" si="87"/>
        <v>179291.64749999996</v>
      </c>
      <c r="AF20" s="669">
        <f t="shared" si="87"/>
        <v>0</v>
      </c>
      <c r="AG20" s="669">
        <f t="shared" si="87"/>
        <v>179918.26749999999</v>
      </c>
      <c r="AH20" s="669">
        <f t="shared" si="87"/>
        <v>0</v>
      </c>
      <c r="AI20" s="669">
        <f t="shared" si="87"/>
        <v>180544.88749999998</v>
      </c>
      <c r="AJ20" s="669">
        <f t="shared" si="87"/>
        <v>0</v>
      </c>
      <c r="AK20" s="669">
        <f t="shared" si="87"/>
        <v>181171.50749999998</v>
      </c>
      <c r="AL20" s="669">
        <f t="shared" si="87"/>
        <v>0</v>
      </c>
      <c r="AM20" s="669">
        <f t="shared" si="87"/>
        <v>0</v>
      </c>
      <c r="AN20" s="669">
        <f t="shared" si="87"/>
        <v>199977.94024999999</v>
      </c>
      <c r="AO20" s="669">
        <f t="shared" si="87"/>
        <v>0</v>
      </c>
      <c r="AP20" s="669">
        <f t="shared" si="87"/>
        <v>200604.56025000001</v>
      </c>
      <c r="AQ20" s="669">
        <f t="shared" ref="AQ20:BF20" si="88">IF(AQ3=1,IF(AQ12&gt;AQ8,AQ8*$E$7,AQ12*$E$7),0)</f>
        <v>0</v>
      </c>
      <c r="AR20" s="669">
        <f t="shared" si="88"/>
        <v>201231.18025</v>
      </c>
      <c r="AS20" s="669">
        <f t="shared" si="88"/>
        <v>0</v>
      </c>
      <c r="AT20" s="669">
        <f t="shared" si="88"/>
        <v>201857.80025</v>
      </c>
      <c r="AU20" s="669">
        <f t="shared" si="88"/>
        <v>0</v>
      </c>
      <c r="AV20" s="669">
        <f t="shared" si="88"/>
        <v>202484.42025</v>
      </c>
      <c r="AW20" s="669">
        <f t="shared" si="88"/>
        <v>0</v>
      </c>
      <c r="AX20" s="669">
        <f t="shared" si="88"/>
        <v>203111.04025000002</v>
      </c>
      <c r="AY20" s="669">
        <f t="shared" si="88"/>
        <v>0</v>
      </c>
      <c r="AZ20" s="669">
        <f t="shared" si="88"/>
        <v>203737.66025000002</v>
      </c>
      <c r="BA20" s="669">
        <f t="shared" si="88"/>
        <v>0</v>
      </c>
      <c r="BB20" s="669">
        <f t="shared" si="88"/>
        <v>0</v>
      </c>
      <c r="BC20" s="669">
        <f t="shared" si="88"/>
        <v>0</v>
      </c>
      <c r="BD20" s="669">
        <f t="shared" si="88"/>
        <v>204990.90025000001</v>
      </c>
      <c r="BE20" s="669">
        <f t="shared" si="88"/>
        <v>0</v>
      </c>
      <c r="BF20" s="669">
        <f t="shared" si="88"/>
        <v>205617.52025000003</v>
      </c>
      <c r="BG20" s="669">
        <f t="shared" ref="BG20:BV20" si="89">IF(BG3=1,IF(BG12&gt;BG8,BG8*$E$7,BG12*$E$7),0)</f>
        <v>0</v>
      </c>
      <c r="BH20" s="669">
        <f t="shared" si="89"/>
        <v>206244.14025000003</v>
      </c>
      <c r="BI20" s="669">
        <f t="shared" si="89"/>
        <v>0</v>
      </c>
      <c r="BJ20" s="669">
        <f t="shared" si="89"/>
        <v>206870.76024999999</v>
      </c>
      <c r="BK20" s="669">
        <f t="shared" si="89"/>
        <v>0</v>
      </c>
      <c r="BL20" s="669">
        <f t="shared" si="89"/>
        <v>207497.38024999999</v>
      </c>
      <c r="BM20" s="669">
        <f t="shared" si="89"/>
        <v>0</v>
      </c>
      <c r="BN20" s="669">
        <f t="shared" si="89"/>
        <v>208124.00025000001</v>
      </c>
      <c r="BO20" s="669">
        <f t="shared" si="89"/>
        <v>0</v>
      </c>
      <c r="BP20" s="669">
        <f t="shared" si="89"/>
        <v>208750.62025000001</v>
      </c>
      <c r="BQ20" s="669">
        <f t="shared" si="89"/>
        <v>0</v>
      </c>
      <c r="BR20" s="669">
        <f t="shared" si="89"/>
        <v>0</v>
      </c>
      <c r="BS20" s="669">
        <f t="shared" si="89"/>
        <v>0</v>
      </c>
      <c r="BT20" s="669">
        <f t="shared" si="89"/>
        <v>214491</v>
      </c>
      <c r="BU20" s="669">
        <f t="shared" si="89"/>
        <v>0</v>
      </c>
      <c r="BV20" s="669">
        <f t="shared" si="89"/>
        <v>214491</v>
      </c>
      <c r="BW20" s="669">
        <f t="shared" ref="BW20:CI20" si="90">IF(BW3=1,IF(BW12&gt;BW8,BW8*$E$7,BW12*$E$7),0)</f>
        <v>0</v>
      </c>
      <c r="BX20" s="669">
        <f t="shared" si="90"/>
        <v>214491</v>
      </c>
      <c r="BY20" s="669">
        <f t="shared" si="90"/>
        <v>0</v>
      </c>
      <c r="BZ20" s="669">
        <f t="shared" si="90"/>
        <v>214491</v>
      </c>
      <c r="CA20" s="669">
        <f t="shared" si="90"/>
        <v>0</v>
      </c>
      <c r="CB20" s="669">
        <f t="shared" si="90"/>
        <v>214491</v>
      </c>
      <c r="CC20" s="669">
        <f t="shared" si="90"/>
        <v>0</v>
      </c>
      <c r="CD20" s="669">
        <f t="shared" si="90"/>
        <v>214491</v>
      </c>
      <c r="CE20" s="669">
        <f t="shared" si="90"/>
        <v>0</v>
      </c>
      <c r="CF20" s="669">
        <f t="shared" si="90"/>
        <v>214491</v>
      </c>
      <c r="CG20" s="669">
        <f t="shared" si="90"/>
        <v>0</v>
      </c>
      <c r="CH20" s="669">
        <f t="shared" si="90"/>
        <v>0</v>
      </c>
      <c r="CI20" s="669">
        <f t="shared" si="90"/>
        <v>0</v>
      </c>
    </row>
    <row r="21" spans="1:87" x14ac:dyDescent="0.25">
      <c r="A21" s="131">
        <v>1</v>
      </c>
      <c r="B21" s="385">
        <v>7.85</v>
      </c>
      <c r="C21" s="385">
        <v>2.34</v>
      </c>
      <c r="D21" s="385">
        <v>1.1931</v>
      </c>
      <c r="E21" s="385">
        <v>0.1</v>
      </c>
      <c r="F21" s="650">
        <f t="shared" si="54"/>
        <v>11.4831</v>
      </c>
      <c r="G21" s="650"/>
      <c r="H21" s="650"/>
      <c r="J21" s="668" t="s">
        <v>2468</v>
      </c>
      <c r="K21" s="669">
        <f>IF(K3=1,IF(K13&gt;K9,K9*$E$8,K13*$E$8),0)</f>
        <v>39002.25</v>
      </c>
      <c r="L21" s="669">
        <f t="shared" ref="L21:AP21" si="91">IF(L3=1,IF(L13&gt;L9,L9*$E$8,L13*$E$8),0)</f>
        <v>0</v>
      </c>
      <c r="M21" s="669">
        <f t="shared" si="91"/>
        <v>39216.450000000004</v>
      </c>
      <c r="N21" s="669">
        <f t="shared" si="91"/>
        <v>0</v>
      </c>
      <c r="O21" s="669">
        <f t="shared" si="91"/>
        <v>39430.649999999994</v>
      </c>
      <c r="P21" s="669">
        <f t="shared" si="91"/>
        <v>0</v>
      </c>
      <c r="Q21" s="669">
        <f t="shared" si="91"/>
        <v>39644.85</v>
      </c>
      <c r="R21" s="669">
        <f t="shared" si="91"/>
        <v>0</v>
      </c>
      <c r="S21" s="669">
        <f t="shared" si="91"/>
        <v>39859.049999999996</v>
      </c>
      <c r="T21" s="669">
        <f t="shared" si="91"/>
        <v>0</v>
      </c>
      <c r="U21" s="669">
        <f t="shared" si="91"/>
        <v>40073.25</v>
      </c>
      <c r="V21" s="669">
        <f t="shared" si="91"/>
        <v>0</v>
      </c>
      <c r="W21" s="669">
        <f t="shared" si="91"/>
        <v>0</v>
      </c>
      <c r="X21" s="669">
        <f t="shared" si="91"/>
        <v>0</v>
      </c>
      <c r="Y21" s="669">
        <f t="shared" si="91"/>
        <v>40430.25</v>
      </c>
      <c r="Z21" s="669">
        <f t="shared" si="91"/>
        <v>0</v>
      </c>
      <c r="AA21" s="669">
        <f t="shared" si="91"/>
        <v>40573.050000000003</v>
      </c>
      <c r="AB21" s="669">
        <f t="shared" si="91"/>
        <v>0</v>
      </c>
      <c r="AC21" s="669">
        <f t="shared" si="91"/>
        <v>40715.85</v>
      </c>
      <c r="AD21" s="669">
        <f t="shared" si="91"/>
        <v>0</v>
      </c>
      <c r="AE21" s="669">
        <f t="shared" si="91"/>
        <v>40858.65</v>
      </c>
      <c r="AF21" s="669">
        <f t="shared" si="91"/>
        <v>0</v>
      </c>
      <c r="AG21" s="669">
        <f t="shared" si="91"/>
        <v>41001.450000000004</v>
      </c>
      <c r="AH21" s="669">
        <f t="shared" si="91"/>
        <v>0</v>
      </c>
      <c r="AI21" s="669">
        <f t="shared" si="91"/>
        <v>41144.25</v>
      </c>
      <c r="AJ21" s="669">
        <f t="shared" si="91"/>
        <v>0</v>
      </c>
      <c r="AK21" s="669">
        <f t="shared" si="91"/>
        <v>41287.050000000003</v>
      </c>
      <c r="AL21" s="669">
        <f t="shared" si="91"/>
        <v>0</v>
      </c>
      <c r="AM21" s="669">
        <f t="shared" si="91"/>
        <v>0</v>
      </c>
      <c r="AN21" s="669">
        <f t="shared" si="91"/>
        <v>45572.835000000006</v>
      </c>
      <c r="AO21" s="669">
        <f t="shared" si="91"/>
        <v>0</v>
      </c>
      <c r="AP21" s="669">
        <f t="shared" si="91"/>
        <v>45715.635000000009</v>
      </c>
      <c r="AQ21" s="669">
        <f t="shared" ref="AQ21:BF21" si="92">IF(AQ3=1,IF(AQ13&gt;AQ9,AQ9*$E$8,AQ13*$E$8),0)</f>
        <v>0</v>
      </c>
      <c r="AR21" s="669">
        <f t="shared" si="92"/>
        <v>45858.435000000005</v>
      </c>
      <c r="AS21" s="669">
        <f t="shared" si="92"/>
        <v>0</v>
      </c>
      <c r="AT21" s="669">
        <f t="shared" si="92"/>
        <v>46001.235000000008</v>
      </c>
      <c r="AU21" s="669">
        <f t="shared" si="92"/>
        <v>0</v>
      </c>
      <c r="AV21" s="669">
        <f t="shared" si="92"/>
        <v>46144.035000000011</v>
      </c>
      <c r="AW21" s="669">
        <f t="shared" si="92"/>
        <v>0</v>
      </c>
      <c r="AX21" s="669">
        <f t="shared" si="92"/>
        <v>46286.835000000006</v>
      </c>
      <c r="AY21" s="669">
        <f t="shared" si="92"/>
        <v>0</v>
      </c>
      <c r="AZ21" s="669">
        <f t="shared" si="92"/>
        <v>46429.635000000002</v>
      </c>
      <c r="BA21" s="669">
        <f t="shared" si="92"/>
        <v>0</v>
      </c>
      <c r="BB21" s="669">
        <f t="shared" si="92"/>
        <v>0</v>
      </c>
      <c r="BC21" s="669">
        <f t="shared" si="92"/>
        <v>0</v>
      </c>
      <c r="BD21" s="669">
        <f t="shared" si="92"/>
        <v>46715.235000000008</v>
      </c>
      <c r="BE21" s="669">
        <f t="shared" si="92"/>
        <v>0</v>
      </c>
      <c r="BF21" s="669">
        <f t="shared" si="92"/>
        <v>46858.035000000003</v>
      </c>
      <c r="BG21" s="669">
        <f t="shared" ref="BG21:BV21" si="93">IF(BG3=1,IF(BG13&gt;BG9,BG9*$E$8,BG13*$E$8),0)</f>
        <v>0</v>
      </c>
      <c r="BH21" s="669">
        <f t="shared" si="93"/>
        <v>47000.835000000014</v>
      </c>
      <c r="BI21" s="669">
        <f t="shared" si="93"/>
        <v>0</v>
      </c>
      <c r="BJ21" s="669">
        <f t="shared" si="93"/>
        <v>47143.635000000009</v>
      </c>
      <c r="BK21" s="669">
        <f t="shared" si="93"/>
        <v>0</v>
      </c>
      <c r="BL21" s="669">
        <f t="shared" si="93"/>
        <v>47286.435000000005</v>
      </c>
      <c r="BM21" s="669">
        <f t="shared" si="93"/>
        <v>0</v>
      </c>
      <c r="BN21" s="669">
        <f t="shared" si="93"/>
        <v>47429.235000000008</v>
      </c>
      <c r="BO21" s="669">
        <f t="shared" si="93"/>
        <v>0</v>
      </c>
      <c r="BP21" s="669">
        <f t="shared" si="93"/>
        <v>47572.035000000011</v>
      </c>
      <c r="BQ21" s="669">
        <f t="shared" si="93"/>
        <v>0</v>
      </c>
      <c r="BR21" s="669">
        <f t="shared" si="93"/>
        <v>0</v>
      </c>
      <c r="BS21" s="669">
        <f t="shared" si="93"/>
        <v>0</v>
      </c>
      <c r="BT21" s="669">
        <f t="shared" si="93"/>
        <v>48895</v>
      </c>
      <c r="BU21" s="669">
        <f t="shared" si="93"/>
        <v>0</v>
      </c>
      <c r="BV21" s="669">
        <f t="shared" si="93"/>
        <v>48895</v>
      </c>
      <c r="BW21" s="669">
        <f t="shared" ref="BW21:CI21" si="94">IF(BW3=1,IF(BW13&gt;BW9,BW9*$E$8,BW13*$E$8),0)</f>
        <v>0</v>
      </c>
      <c r="BX21" s="669">
        <f t="shared" si="94"/>
        <v>48895</v>
      </c>
      <c r="BY21" s="669">
        <f t="shared" si="94"/>
        <v>0</v>
      </c>
      <c r="BZ21" s="669">
        <f t="shared" si="94"/>
        <v>48895</v>
      </c>
      <c r="CA21" s="669">
        <f t="shared" si="94"/>
        <v>0</v>
      </c>
      <c r="CB21" s="669">
        <f t="shared" si="94"/>
        <v>48895</v>
      </c>
      <c r="CC21" s="669">
        <f t="shared" si="94"/>
        <v>0</v>
      </c>
      <c r="CD21" s="669">
        <f t="shared" si="94"/>
        <v>48895</v>
      </c>
      <c r="CE21" s="669">
        <f t="shared" si="94"/>
        <v>0</v>
      </c>
      <c r="CF21" s="669">
        <f t="shared" si="94"/>
        <v>48895</v>
      </c>
      <c r="CG21" s="669">
        <f t="shared" si="94"/>
        <v>0</v>
      </c>
      <c r="CH21" s="669">
        <f t="shared" si="94"/>
        <v>0</v>
      </c>
      <c r="CI21" s="669">
        <f t="shared" si="94"/>
        <v>0</v>
      </c>
    </row>
    <row r="22" spans="1:87" x14ac:dyDescent="0.25">
      <c r="J22" s="126" t="s">
        <v>2469</v>
      </c>
      <c r="K22" s="666">
        <f>IF(K3=1,IF(K14&gt;K6,K6*$E$5,K14*$E$5),0)</f>
        <v>194858.30000000002</v>
      </c>
      <c r="L22" s="666">
        <f t="shared" ref="L22:AP22" si="95">IF(L3=1,IF(L14&gt;L6,L6*$E$5,L14*$E$5),0)</f>
        <v>0</v>
      </c>
      <c r="M22" s="666">
        <f t="shared" si="95"/>
        <v>195928.46</v>
      </c>
      <c r="N22" s="666">
        <f t="shared" si="95"/>
        <v>0</v>
      </c>
      <c r="O22" s="666">
        <f t="shared" si="95"/>
        <v>196998.62</v>
      </c>
      <c r="P22" s="666">
        <f t="shared" si="95"/>
        <v>0</v>
      </c>
      <c r="Q22" s="666">
        <f t="shared" si="95"/>
        <v>198068.78</v>
      </c>
      <c r="R22" s="666">
        <f t="shared" si="95"/>
        <v>0</v>
      </c>
      <c r="S22" s="666">
        <f t="shared" si="95"/>
        <v>199138.94</v>
      </c>
      <c r="T22" s="666">
        <f t="shared" si="95"/>
        <v>0</v>
      </c>
      <c r="U22" s="666">
        <f t="shared" si="95"/>
        <v>200209.1</v>
      </c>
      <c r="V22" s="666">
        <f t="shared" si="95"/>
        <v>0</v>
      </c>
      <c r="W22" s="666">
        <f t="shared" si="95"/>
        <v>0</v>
      </c>
      <c r="X22" s="666">
        <f t="shared" si="95"/>
        <v>0</v>
      </c>
      <c r="Y22" s="666">
        <f t="shared" si="95"/>
        <v>201992.7</v>
      </c>
      <c r="Z22" s="666">
        <f t="shared" si="95"/>
        <v>0</v>
      </c>
      <c r="AA22" s="666">
        <f t="shared" si="95"/>
        <v>202706.14</v>
      </c>
      <c r="AB22" s="666">
        <f t="shared" si="95"/>
        <v>0</v>
      </c>
      <c r="AC22" s="666">
        <f t="shared" si="95"/>
        <v>203419.58</v>
      </c>
      <c r="AD22" s="666">
        <f t="shared" si="95"/>
        <v>0</v>
      </c>
      <c r="AE22" s="666">
        <f t="shared" si="95"/>
        <v>204133.02000000002</v>
      </c>
      <c r="AF22" s="666">
        <f t="shared" si="95"/>
        <v>0</v>
      </c>
      <c r="AG22" s="666">
        <f t="shared" si="95"/>
        <v>204846.46</v>
      </c>
      <c r="AH22" s="666">
        <f t="shared" si="95"/>
        <v>0</v>
      </c>
      <c r="AI22" s="666">
        <f t="shared" si="95"/>
        <v>205559.9</v>
      </c>
      <c r="AJ22" s="666">
        <f t="shared" si="95"/>
        <v>0</v>
      </c>
      <c r="AK22" s="666">
        <f t="shared" si="95"/>
        <v>206273.34</v>
      </c>
      <c r="AL22" s="666">
        <f t="shared" si="95"/>
        <v>0</v>
      </c>
      <c r="AM22" s="666">
        <f t="shared" si="95"/>
        <v>0</v>
      </c>
      <c r="AN22" s="666">
        <f t="shared" si="95"/>
        <v>227685.45800000004</v>
      </c>
      <c r="AO22" s="666">
        <f t="shared" si="95"/>
        <v>0</v>
      </c>
      <c r="AP22" s="666">
        <f t="shared" si="95"/>
        <v>228398.89800000004</v>
      </c>
      <c r="AQ22" s="666">
        <f t="shared" ref="AQ22:BF22" si="96">IF(AQ3=1,IF(AQ14&gt;AQ6,AQ6*$E$5,AQ14*$E$5),0)</f>
        <v>0</v>
      </c>
      <c r="AR22" s="666">
        <f t="shared" si="96"/>
        <v>229112.33800000005</v>
      </c>
      <c r="AS22" s="666">
        <f t="shared" si="96"/>
        <v>0</v>
      </c>
      <c r="AT22" s="666">
        <f t="shared" si="96"/>
        <v>229825.77800000005</v>
      </c>
      <c r="AU22" s="666">
        <f t="shared" si="96"/>
        <v>0</v>
      </c>
      <c r="AV22" s="666">
        <f t="shared" si="96"/>
        <v>230539.21800000005</v>
      </c>
      <c r="AW22" s="666">
        <f t="shared" si="96"/>
        <v>0</v>
      </c>
      <c r="AX22" s="666">
        <f t="shared" si="96"/>
        <v>231252.65800000002</v>
      </c>
      <c r="AY22" s="666">
        <f t="shared" si="96"/>
        <v>0</v>
      </c>
      <c r="AZ22" s="666">
        <f t="shared" si="96"/>
        <v>231966.09800000003</v>
      </c>
      <c r="BA22" s="666">
        <f t="shared" si="96"/>
        <v>0</v>
      </c>
      <c r="BB22" s="666">
        <f t="shared" si="96"/>
        <v>0</v>
      </c>
      <c r="BC22" s="666">
        <f t="shared" si="96"/>
        <v>0</v>
      </c>
      <c r="BD22" s="666">
        <f t="shared" si="96"/>
        <v>233392.97800000006</v>
      </c>
      <c r="BE22" s="666">
        <f t="shared" si="96"/>
        <v>0</v>
      </c>
      <c r="BF22" s="666">
        <f t="shared" si="96"/>
        <v>234106.41800000003</v>
      </c>
      <c r="BG22" s="666">
        <f t="shared" ref="BG22:BV22" si="97">IF(BG3=1,IF(BG14&gt;BG6,BG6*$E$5,BG14*$E$5),0)</f>
        <v>0</v>
      </c>
      <c r="BH22" s="666">
        <f t="shared" si="97"/>
        <v>234819.85800000001</v>
      </c>
      <c r="BI22" s="666">
        <f t="shared" si="97"/>
        <v>0</v>
      </c>
      <c r="BJ22" s="666">
        <f t="shared" si="97"/>
        <v>235533.29800000007</v>
      </c>
      <c r="BK22" s="666">
        <f t="shared" si="97"/>
        <v>0</v>
      </c>
      <c r="BL22" s="666">
        <f t="shared" si="97"/>
        <v>236246.73800000004</v>
      </c>
      <c r="BM22" s="666">
        <f t="shared" si="97"/>
        <v>0</v>
      </c>
      <c r="BN22" s="666">
        <f t="shared" si="97"/>
        <v>236960.17800000004</v>
      </c>
      <c r="BO22" s="666">
        <f t="shared" si="97"/>
        <v>0</v>
      </c>
      <c r="BP22" s="666">
        <f t="shared" si="97"/>
        <v>237673.61800000002</v>
      </c>
      <c r="BQ22" s="666">
        <f t="shared" si="97"/>
        <v>0</v>
      </c>
      <c r="BR22" s="666">
        <f t="shared" si="97"/>
        <v>0</v>
      </c>
      <c r="BS22" s="666">
        <f t="shared" si="97"/>
        <v>0</v>
      </c>
      <c r="BT22" s="666">
        <f t="shared" si="97"/>
        <v>238749</v>
      </c>
      <c r="BU22" s="666">
        <f t="shared" si="97"/>
        <v>0</v>
      </c>
      <c r="BV22" s="666">
        <f t="shared" si="97"/>
        <v>238749</v>
      </c>
      <c r="BW22" s="666">
        <f t="shared" ref="BW22:CI22" si="98">IF(BW3=1,IF(BW14&gt;BW6,BW6*$E$5,BW14*$E$5),0)</f>
        <v>0</v>
      </c>
      <c r="BX22" s="666">
        <f t="shared" si="98"/>
        <v>238749</v>
      </c>
      <c r="BY22" s="666">
        <f t="shared" si="98"/>
        <v>0</v>
      </c>
      <c r="BZ22" s="666">
        <f t="shared" si="98"/>
        <v>238749</v>
      </c>
      <c r="CA22" s="666">
        <f t="shared" si="98"/>
        <v>0</v>
      </c>
      <c r="CB22" s="666">
        <f t="shared" si="98"/>
        <v>238749</v>
      </c>
      <c r="CC22" s="666">
        <f t="shared" si="98"/>
        <v>0</v>
      </c>
      <c r="CD22" s="666">
        <f t="shared" si="98"/>
        <v>238749</v>
      </c>
      <c r="CE22" s="666">
        <f t="shared" si="98"/>
        <v>0</v>
      </c>
      <c r="CF22" s="666">
        <f t="shared" si="98"/>
        <v>238749</v>
      </c>
      <c r="CG22" s="666">
        <f t="shared" si="98"/>
        <v>0</v>
      </c>
      <c r="CH22" s="666">
        <f t="shared" si="98"/>
        <v>0</v>
      </c>
      <c r="CI22" s="666">
        <f t="shared" si="98"/>
        <v>0</v>
      </c>
    </row>
    <row r="23" spans="1:87" x14ac:dyDescent="0.25">
      <c r="A23" s="117" t="s">
        <v>2447</v>
      </c>
      <c r="B23" s="651"/>
      <c r="C23" s="652"/>
      <c r="D23" s="652"/>
      <c r="E23" s="652"/>
      <c r="F23" s="653"/>
      <c r="G23" s="653"/>
      <c r="H23" s="653"/>
      <c r="J23" s="126" t="s">
        <v>2470</v>
      </c>
      <c r="K23" s="666">
        <f>IF(K3=1,IF(K15&gt;K7,K7*$E$6,K15*$E$6),0)</f>
        <v>106846.5</v>
      </c>
      <c r="L23" s="666">
        <f t="shared" ref="L23:AP23" si="99">IF(L3=1,IF(L15&gt;L7,L7*$E$6,L15*$E$6),0)</f>
        <v>0</v>
      </c>
      <c r="M23" s="666">
        <f t="shared" si="99"/>
        <v>107433.3</v>
      </c>
      <c r="N23" s="666">
        <f t="shared" si="99"/>
        <v>0</v>
      </c>
      <c r="O23" s="666">
        <f t="shared" si="99"/>
        <v>108020.09999999998</v>
      </c>
      <c r="P23" s="666">
        <f t="shared" si="99"/>
        <v>0</v>
      </c>
      <c r="Q23" s="666">
        <f t="shared" si="99"/>
        <v>108606.9</v>
      </c>
      <c r="R23" s="666">
        <f t="shared" si="99"/>
        <v>0</v>
      </c>
      <c r="S23" s="666">
        <f t="shared" si="99"/>
        <v>109193.69999999998</v>
      </c>
      <c r="T23" s="666">
        <f t="shared" si="99"/>
        <v>0</v>
      </c>
      <c r="U23" s="666">
        <f t="shared" si="99"/>
        <v>109780.5</v>
      </c>
      <c r="V23" s="666">
        <f t="shared" si="99"/>
        <v>0</v>
      </c>
      <c r="W23" s="666">
        <f t="shared" si="99"/>
        <v>0</v>
      </c>
      <c r="X23" s="666">
        <f t="shared" si="99"/>
        <v>0</v>
      </c>
      <c r="Y23" s="666">
        <f t="shared" si="99"/>
        <v>110758.49999999999</v>
      </c>
      <c r="Z23" s="666">
        <f t="shared" si="99"/>
        <v>0</v>
      </c>
      <c r="AA23" s="666">
        <f t="shared" si="99"/>
        <v>111149.7</v>
      </c>
      <c r="AB23" s="666">
        <f t="shared" si="99"/>
        <v>0</v>
      </c>
      <c r="AC23" s="666">
        <f t="shared" si="99"/>
        <v>111540.9</v>
      </c>
      <c r="AD23" s="666">
        <f t="shared" si="99"/>
        <v>0</v>
      </c>
      <c r="AE23" s="666">
        <f t="shared" si="99"/>
        <v>111932.09999999999</v>
      </c>
      <c r="AF23" s="666">
        <f t="shared" si="99"/>
        <v>0</v>
      </c>
      <c r="AG23" s="666">
        <f t="shared" si="99"/>
        <v>112323.3</v>
      </c>
      <c r="AH23" s="666">
        <f t="shared" si="99"/>
        <v>0</v>
      </c>
      <c r="AI23" s="666">
        <f t="shared" si="99"/>
        <v>112714.49999999999</v>
      </c>
      <c r="AJ23" s="666">
        <f t="shared" si="99"/>
        <v>0</v>
      </c>
      <c r="AK23" s="666">
        <f t="shared" si="99"/>
        <v>113105.7</v>
      </c>
      <c r="AL23" s="666">
        <f t="shared" si="99"/>
        <v>0</v>
      </c>
      <c r="AM23" s="666">
        <f t="shared" si="99"/>
        <v>0</v>
      </c>
      <c r="AN23" s="666">
        <f t="shared" si="99"/>
        <v>124846.59000000001</v>
      </c>
      <c r="AO23" s="666">
        <f t="shared" si="99"/>
        <v>0</v>
      </c>
      <c r="AP23" s="666">
        <f t="shared" si="99"/>
        <v>125237.79000000001</v>
      </c>
      <c r="AQ23" s="666">
        <f t="shared" ref="AQ23:BF23" si="100">IF(AQ3=1,IF(AQ15&gt;AQ7,AQ7*$E$6,AQ15*$E$6),0)</f>
        <v>0</v>
      </c>
      <c r="AR23" s="666">
        <f t="shared" si="100"/>
        <v>125628.99000000002</v>
      </c>
      <c r="AS23" s="666">
        <f t="shared" si="100"/>
        <v>0</v>
      </c>
      <c r="AT23" s="666">
        <f t="shared" si="100"/>
        <v>126020.19</v>
      </c>
      <c r="AU23" s="666">
        <f t="shared" si="100"/>
        <v>0</v>
      </c>
      <c r="AV23" s="666">
        <f t="shared" si="100"/>
        <v>126411.39000000001</v>
      </c>
      <c r="AW23" s="666">
        <f t="shared" si="100"/>
        <v>0</v>
      </c>
      <c r="AX23" s="666">
        <f t="shared" si="100"/>
        <v>126802.59000000003</v>
      </c>
      <c r="AY23" s="666">
        <f t="shared" si="100"/>
        <v>0</v>
      </c>
      <c r="AZ23" s="666">
        <f t="shared" si="100"/>
        <v>127193.79000000001</v>
      </c>
      <c r="BA23" s="666">
        <f t="shared" si="100"/>
        <v>0</v>
      </c>
      <c r="BB23" s="666">
        <f t="shared" si="100"/>
        <v>0</v>
      </c>
      <c r="BC23" s="666">
        <f t="shared" si="100"/>
        <v>0</v>
      </c>
      <c r="BD23" s="666">
        <f t="shared" si="100"/>
        <v>127976.19</v>
      </c>
      <c r="BE23" s="666">
        <f t="shared" si="100"/>
        <v>0</v>
      </c>
      <c r="BF23" s="666">
        <f t="shared" si="100"/>
        <v>128367.39000000001</v>
      </c>
      <c r="BG23" s="666">
        <f t="shared" ref="BG23:BV23" si="101">IF(BG3=1,IF(BG15&gt;BG7,BG7*$E$6,BG15*$E$6),0)</f>
        <v>0</v>
      </c>
      <c r="BH23" s="666">
        <f t="shared" si="101"/>
        <v>128758.59</v>
      </c>
      <c r="BI23" s="666">
        <f t="shared" si="101"/>
        <v>0</v>
      </c>
      <c r="BJ23" s="666">
        <f t="shared" si="101"/>
        <v>129149.79000000001</v>
      </c>
      <c r="BK23" s="666">
        <f t="shared" si="101"/>
        <v>0</v>
      </c>
      <c r="BL23" s="666">
        <f t="shared" si="101"/>
        <v>129540.99</v>
      </c>
      <c r="BM23" s="666">
        <f t="shared" si="101"/>
        <v>0</v>
      </c>
      <c r="BN23" s="666">
        <f t="shared" si="101"/>
        <v>129932.19</v>
      </c>
      <c r="BO23" s="666">
        <f t="shared" si="101"/>
        <v>0</v>
      </c>
      <c r="BP23" s="666">
        <f t="shared" si="101"/>
        <v>130323.39000000001</v>
      </c>
      <c r="BQ23" s="666">
        <f t="shared" si="101"/>
        <v>0</v>
      </c>
      <c r="BR23" s="666">
        <f t="shared" si="101"/>
        <v>0</v>
      </c>
      <c r="BS23" s="666">
        <f t="shared" si="101"/>
        <v>0</v>
      </c>
      <c r="BT23" s="666">
        <f t="shared" si="101"/>
        <v>130920</v>
      </c>
      <c r="BU23" s="666">
        <f t="shared" si="101"/>
        <v>0</v>
      </c>
      <c r="BV23" s="666">
        <f t="shared" si="101"/>
        <v>130920</v>
      </c>
      <c r="BW23" s="666">
        <f t="shared" ref="BW23:CI23" si="102">IF(BW3=1,IF(BW15&gt;BW7,BW7*$E$6,BW15*$E$6),0)</f>
        <v>0</v>
      </c>
      <c r="BX23" s="666">
        <f t="shared" si="102"/>
        <v>130920</v>
      </c>
      <c r="BY23" s="666">
        <f t="shared" si="102"/>
        <v>0</v>
      </c>
      <c r="BZ23" s="666">
        <f t="shared" si="102"/>
        <v>130920</v>
      </c>
      <c r="CA23" s="666">
        <f t="shared" si="102"/>
        <v>0</v>
      </c>
      <c r="CB23" s="666">
        <f t="shared" si="102"/>
        <v>130920</v>
      </c>
      <c r="CC23" s="666">
        <f t="shared" si="102"/>
        <v>0</v>
      </c>
      <c r="CD23" s="666">
        <f t="shared" si="102"/>
        <v>130920</v>
      </c>
      <c r="CE23" s="666">
        <f t="shared" si="102"/>
        <v>0</v>
      </c>
      <c r="CF23" s="666">
        <f t="shared" si="102"/>
        <v>130920</v>
      </c>
      <c r="CG23" s="666">
        <f t="shared" si="102"/>
        <v>0</v>
      </c>
      <c r="CH23" s="666">
        <f t="shared" si="102"/>
        <v>0</v>
      </c>
      <c r="CI23" s="666">
        <f t="shared" si="102"/>
        <v>0</v>
      </c>
    </row>
    <row r="24" spans="1:87" x14ac:dyDescent="0.25">
      <c r="A24" s="644" t="s">
        <v>31</v>
      </c>
      <c r="B24" s="645">
        <f>B25+B26+B27+B28</f>
        <v>59602</v>
      </c>
      <c r="C24" s="652" t="s">
        <v>2418</v>
      </c>
      <c r="D24" s="647" t="s">
        <v>2438</v>
      </c>
      <c r="E24" s="647" t="s">
        <v>2439</v>
      </c>
      <c r="F24" s="647" t="s">
        <v>2440</v>
      </c>
      <c r="G24" s="647"/>
      <c r="H24" s="647"/>
      <c r="J24" s="126" t="s">
        <v>2471</v>
      </c>
      <c r="K24" s="666">
        <f>IF(K3=1,IF(K16&gt;K8,K8*$E$7,K16*$E$7),0)</f>
        <v>171145.58749999997</v>
      </c>
      <c r="L24" s="666">
        <f t="shared" ref="L24:AP24" si="103">IF(L3=1,IF(L16&gt;L8,L8*$E$7,L16*$E$7),0)</f>
        <v>0</v>
      </c>
      <c r="M24" s="666">
        <f t="shared" si="103"/>
        <v>172085.51749999999</v>
      </c>
      <c r="N24" s="666">
        <f t="shared" si="103"/>
        <v>0</v>
      </c>
      <c r="O24" s="666">
        <f t="shared" si="103"/>
        <v>173025.44749999998</v>
      </c>
      <c r="P24" s="666">
        <f t="shared" si="103"/>
        <v>0</v>
      </c>
      <c r="Q24" s="666">
        <f t="shared" si="103"/>
        <v>173965.37749999997</v>
      </c>
      <c r="R24" s="666">
        <f t="shared" si="103"/>
        <v>0</v>
      </c>
      <c r="S24" s="666">
        <f t="shared" si="103"/>
        <v>174905.3075</v>
      </c>
      <c r="T24" s="666">
        <f t="shared" si="103"/>
        <v>0</v>
      </c>
      <c r="U24" s="666">
        <f t="shared" si="103"/>
        <v>175845.23749999999</v>
      </c>
      <c r="V24" s="666">
        <f t="shared" si="103"/>
        <v>0</v>
      </c>
      <c r="W24" s="666">
        <f t="shared" si="103"/>
        <v>0</v>
      </c>
      <c r="X24" s="666">
        <f t="shared" si="103"/>
        <v>0</v>
      </c>
      <c r="Y24" s="666">
        <f t="shared" si="103"/>
        <v>177411.78750000001</v>
      </c>
      <c r="Z24" s="666">
        <f t="shared" si="103"/>
        <v>0</v>
      </c>
      <c r="AA24" s="666">
        <f t="shared" si="103"/>
        <v>178038.40749999997</v>
      </c>
      <c r="AB24" s="666">
        <f t="shared" si="103"/>
        <v>0</v>
      </c>
      <c r="AC24" s="666">
        <f t="shared" si="103"/>
        <v>178665.02749999997</v>
      </c>
      <c r="AD24" s="666">
        <f t="shared" si="103"/>
        <v>0</v>
      </c>
      <c r="AE24" s="666">
        <f t="shared" si="103"/>
        <v>179291.64749999996</v>
      </c>
      <c r="AF24" s="666">
        <f t="shared" si="103"/>
        <v>0</v>
      </c>
      <c r="AG24" s="666">
        <f t="shared" si="103"/>
        <v>179918.26749999999</v>
      </c>
      <c r="AH24" s="666">
        <f t="shared" si="103"/>
        <v>0</v>
      </c>
      <c r="AI24" s="666">
        <f t="shared" si="103"/>
        <v>180544.88749999998</v>
      </c>
      <c r="AJ24" s="666">
        <f t="shared" si="103"/>
        <v>0</v>
      </c>
      <c r="AK24" s="666">
        <f t="shared" si="103"/>
        <v>181171.50749999998</v>
      </c>
      <c r="AL24" s="666">
        <f t="shared" si="103"/>
        <v>0</v>
      </c>
      <c r="AM24" s="666">
        <f t="shared" si="103"/>
        <v>0</v>
      </c>
      <c r="AN24" s="666">
        <f t="shared" si="103"/>
        <v>199977.94024999999</v>
      </c>
      <c r="AO24" s="666">
        <f t="shared" si="103"/>
        <v>0</v>
      </c>
      <c r="AP24" s="666">
        <f t="shared" si="103"/>
        <v>200604.56025000001</v>
      </c>
      <c r="AQ24" s="666">
        <f t="shared" ref="AQ24:BF24" si="104">IF(AQ3=1,IF(AQ16&gt;AQ8,AQ8*$E$7,AQ16*$E$7),0)</f>
        <v>0</v>
      </c>
      <c r="AR24" s="666">
        <f t="shared" si="104"/>
        <v>201231.18025</v>
      </c>
      <c r="AS24" s="666">
        <f t="shared" si="104"/>
        <v>0</v>
      </c>
      <c r="AT24" s="666">
        <f t="shared" si="104"/>
        <v>201857.80025</v>
      </c>
      <c r="AU24" s="666">
        <f t="shared" si="104"/>
        <v>0</v>
      </c>
      <c r="AV24" s="666">
        <f t="shared" si="104"/>
        <v>202484.42025</v>
      </c>
      <c r="AW24" s="666">
        <f t="shared" si="104"/>
        <v>0</v>
      </c>
      <c r="AX24" s="666">
        <f t="shared" si="104"/>
        <v>203111.04025000002</v>
      </c>
      <c r="AY24" s="666">
        <f t="shared" si="104"/>
        <v>0</v>
      </c>
      <c r="AZ24" s="666">
        <f t="shared" si="104"/>
        <v>203737.66025000002</v>
      </c>
      <c r="BA24" s="666">
        <f t="shared" si="104"/>
        <v>0</v>
      </c>
      <c r="BB24" s="666">
        <f t="shared" si="104"/>
        <v>0</v>
      </c>
      <c r="BC24" s="666">
        <f t="shared" si="104"/>
        <v>0</v>
      </c>
      <c r="BD24" s="666">
        <f t="shared" si="104"/>
        <v>204990.90025000001</v>
      </c>
      <c r="BE24" s="666">
        <f t="shared" si="104"/>
        <v>0</v>
      </c>
      <c r="BF24" s="666">
        <f t="shared" si="104"/>
        <v>205617.52025000003</v>
      </c>
      <c r="BG24" s="666">
        <f t="shared" ref="BG24:BV24" si="105">IF(BG3=1,IF(BG16&gt;BG8,BG8*$E$7,BG16*$E$7),0)</f>
        <v>0</v>
      </c>
      <c r="BH24" s="666">
        <f t="shared" si="105"/>
        <v>206244.14025000003</v>
      </c>
      <c r="BI24" s="666">
        <f t="shared" si="105"/>
        <v>0</v>
      </c>
      <c r="BJ24" s="666">
        <f t="shared" si="105"/>
        <v>206870.76024999999</v>
      </c>
      <c r="BK24" s="666">
        <f t="shared" si="105"/>
        <v>0</v>
      </c>
      <c r="BL24" s="666">
        <f t="shared" si="105"/>
        <v>207497.38024999999</v>
      </c>
      <c r="BM24" s="666">
        <f t="shared" si="105"/>
        <v>0</v>
      </c>
      <c r="BN24" s="666">
        <f t="shared" si="105"/>
        <v>208124.00025000001</v>
      </c>
      <c r="BO24" s="666">
        <f t="shared" si="105"/>
        <v>0</v>
      </c>
      <c r="BP24" s="666">
        <f t="shared" si="105"/>
        <v>208750.62025000001</v>
      </c>
      <c r="BQ24" s="666">
        <f t="shared" si="105"/>
        <v>0</v>
      </c>
      <c r="BR24" s="666">
        <f t="shared" si="105"/>
        <v>0</v>
      </c>
      <c r="BS24" s="666">
        <f t="shared" si="105"/>
        <v>0</v>
      </c>
      <c r="BT24" s="666">
        <f t="shared" si="105"/>
        <v>209703</v>
      </c>
      <c r="BU24" s="666">
        <f t="shared" si="105"/>
        <v>0</v>
      </c>
      <c r="BV24" s="666">
        <f t="shared" si="105"/>
        <v>209703</v>
      </c>
      <c r="BW24" s="666">
        <f t="shared" ref="BW24:CI24" si="106">IF(BW3=1,IF(BW16&gt;BW8,BW8*$E$7,BW16*$E$7),0)</f>
        <v>0</v>
      </c>
      <c r="BX24" s="666">
        <f t="shared" si="106"/>
        <v>209703</v>
      </c>
      <c r="BY24" s="666">
        <f t="shared" si="106"/>
        <v>0</v>
      </c>
      <c r="BZ24" s="666">
        <f t="shared" si="106"/>
        <v>209703</v>
      </c>
      <c r="CA24" s="666">
        <f t="shared" si="106"/>
        <v>0</v>
      </c>
      <c r="CB24" s="666">
        <f t="shared" si="106"/>
        <v>209703</v>
      </c>
      <c r="CC24" s="666">
        <f t="shared" si="106"/>
        <v>0</v>
      </c>
      <c r="CD24" s="666">
        <f t="shared" si="106"/>
        <v>209703</v>
      </c>
      <c r="CE24" s="666">
        <f t="shared" si="106"/>
        <v>0</v>
      </c>
      <c r="CF24" s="666">
        <f t="shared" si="106"/>
        <v>209703</v>
      </c>
      <c r="CG24" s="666">
        <f t="shared" si="106"/>
        <v>0</v>
      </c>
      <c r="CH24" s="666">
        <f t="shared" si="106"/>
        <v>0</v>
      </c>
      <c r="CI24" s="666">
        <f t="shared" si="106"/>
        <v>0</v>
      </c>
    </row>
    <row r="25" spans="1:87" x14ac:dyDescent="0.25">
      <c r="A25" s="644" t="s">
        <v>32</v>
      </c>
      <c r="B25" s="661">
        <v>34107</v>
      </c>
      <c r="C25" s="656">
        <f>B25-B5</f>
        <v>-781</v>
      </c>
      <c r="D25" s="652">
        <f>C25*C5</f>
        <v>-390.5</v>
      </c>
      <c r="E25" s="654">
        <f>IF(C25&gt;0,C25*D5,0)</f>
        <v>0</v>
      </c>
      <c r="F25" s="660">
        <f>IF(C25&lt;0,C25*F5,0)</f>
        <v>-4686</v>
      </c>
      <c r="G25" s="660"/>
      <c r="H25" s="660"/>
      <c r="J25" s="126" t="s">
        <v>2472</v>
      </c>
      <c r="K25" s="666">
        <f>IF(K3=1,IF(K17&gt;K9,K9*$E$8,K17*$E$8),0)</f>
        <v>39002.25</v>
      </c>
      <c r="L25" s="666">
        <f t="shared" ref="L25:AP25" si="107">IF(L3=1,IF(L17&gt;L9,L9*$E$8,L17*$E$8),0)</f>
        <v>0</v>
      </c>
      <c r="M25" s="666">
        <f t="shared" si="107"/>
        <v>39216.450000000004</v>
      </c>
      <c r="N25" s="666">
        <f t="shared" si="107"/>
        <v>0</v>
      </c>
      <c r="O25" s="666">
        <f t="shared" si="107"/>
        <v>39430.649999999994</v>
      </c>
      <c r="P25" s="666">
        <f t="shared" si="107"/>
        <v>0</v>
      </c>
      <c r="Q25" s="666">
        <f t="shared" si="107"/>
        <v>39644.85</v>
      </c>
      <c r="R25" s="666">
        <f t="shared" si="107"/>
        <v>0</v>
      </c>
      <c r="S25" s="666">
        <f t="shared" si="107"/>
        <v>39859.049999999996</v>
      </c>
      <c r="T25" s="666">
        <f t="shared" si="107"/>
        <v>0</v>
      </c>
      <c r="U25" s="666">
        <f t="shared" si="107"/>
        <v>40073.25</v>
      </c>
      <c r="V25" s="666">
        <f t="shared" si="107"/>
        <v>0</v>
      </c>
      <c r="W25" s="666">
        <f t="shared" si="107"/>
        <v>0</v>
      </c>
      <c r="X25" s="666">
        <f t="shared" si="107"/>
        <v>0</v>
      </c>
      <c r="Y25" s="666">
        <f t="shared" si="107"/>
        <v>40430.25</v>
      </c>
      <c r="Z25" s="666">
        <f t="shared" si="107"/>
        <v>0</v>
      </c>
      <c r="AA25" s="666">
        <f t="shared" si="107"/>
        <v>40573.050000000003</v>
      </c>
      <c r="AB25" s="666">
        <f t="shared" si="107"/>
        <v>0</v>
      </c>
      <c r="AC25" s="666">
        <f t="shared" si="107"/>
        <v>40715.85</v>
      </c>
      <c r="AD25" s="666">
        <f t="shared" si="107"/>
        <v>0</v>
      </c>
      <c r="AE25" s="666">
        <f t="shared" si="107"/>
        <v>40858.65</v>
      </c>
      <c r="AF25" s="666">
        <f t="shared" si="107"/>
        <v>0</v>
      </c>
      <c r="AG25" s="666">
        <f t="shared" si="107"/>
        <v>41001.450000000004</v>
      </c>
      <c r="AH25" s="666">
        <f t="shared" si="107"/>
        <v>0</v>
      </c>
      <c r="AI25" s="666">
        <f t="shared" si="107"/>
        <v>41144.25</v>
      </c>
      <c r="AJ25" s="666">
        <f t="shared" si="107"/>
        <v>0</v>
      </c>
      <c r="AK25" s="666">
        <f t="shared" si="107"/>
        <v>41287.050000000003</v>
      </c>
      <c r="AL25" s="666">
        <f t="shared" si="107"/>
        <v>0</v>
      </c>
      <c r="AM25" s="666">
        <f t="shared" si="107"/>
        <v>0</v>
      </c>
      <c r="AN25" s="666">
        <f t="shared" si="107"/>
        <v>45572.835000000006</v>
      </c>
      <c r="AO25" s="666">
        <f t="shared" si="107"/>
        <v>0</v>
      </c>
      <c r="AP25" s="666">
        <f t="shared" si="107"/>
        <v>45715.635000000009</v>
      </c>
      <c r="AQ25" s="666">
        <f t="shared" ref="AQ25:BF25" si="108">IF(AQ3=1,IF(AQ17&gt;AQ9,AQ9*$E$8,AQ17*$E$8),0)</f>
        <v>0</v>
      </c>
      <c r="AR25" s="666">
        <f t="shared" si="108"/>
        <v>45858.435000000005</v>
      </c>
      <c r="AS25" s="666">
        <f t="shared" si="108"/>
        <v>0</v>
      </c>
      <c r="AT25" s="666">
        <f t="shared" si="108"/>
        <v>46001.235000000008</v>
      </c>
      <c r="AU25" s="666">
        <f t="shared" si="108"/>
        <v>0</v>
      </c>
      <c r="AV25" s="666">
        <f t="shared" si="108"/>
        <v>46144.035000000011</v>
      </c>
      <c r="AW25" s="666">
        <f t="shared" si="108"/>
        <v>0</v>
      </c>
      <c r="AX25" s="666">
        <f t="shared" si="108"/>
        <v>46286.835000000006</v>
      </c>
      <c r="AY25" s="666">
        <f t="shared" si="108"/>
        <v>0</v>
      </c>
      <c r="AZ25" s="666">
        <f t="shared" si="108"/>
        <v>46429.635000000002</v>
      </c>
      <c r="BA25" s="666">
        <f t="shared" si="108"/>
        <v>0</v>
      </c>
      <c r="BB25" s="666">
        <f t="shared" si="108"/>
        <v>0</v>
      </c>
      <c r="BC25" s="666">
        <f t="shared" si="108"/>
        <v>0</v>
      </c>
      <c r="BD25" s="666">
        <f t="shared" si="108"/>
        <v>46715.235000000008</v>
      </c>
      <c r="BE25" s="666">
        <f t="shared" si="108"/>
        <v>0</v>
      </c>
      <c r="BF25" s="666">
        <f t="shared" si="108"/>
        <v>46858.035000000003</v>
      </c>
      <c r="BG25" s="666">
        <f t="shared" ref="BG25:BV25" si="109">IF(BG3=1,IF(BG17&gt;BG9,BG9*$E$8,BG17*$E$8),0)</f>
        <v>0</v>
      </c>
      <c r="BH25" s="666">
        <f t="shared" si="109"/>
        <v>47000.835000000014</v>
      </c>
      <c r="BI25" s="666">
        <f t="shared" si="109"/>
        <v>0</v>
      </c>
      <c r="BJ25" s="666">
        <f t="shared" si="109"/>
        <v>47143.635000000009</v>
      </c>
      <c r="BK25" s="666">
        <f t="shared" si="109"/>
        <v>0</v>
      </c>
      <c r="BL25" s="666">
        <f t="shared" si="109"/>
        <v>47286.435000000005</v>
      </c>
      <c r="BM25" s="666">
        <f t="shared" si="109"/>
        <v>0</v>
      </c>
      <c r="BN25" s="666">
        <f t="shared" si="109"/>
        <v>47429.235000000008</v>
      </c>
      <c r="BO25" s="666">
        <f t="shared" si="109"/>
        <v>0</v>
      </c>
      <c r="BP25" s="666">
        <f t="shared" si="109"/>
        <v>47572.035000000011</v>
      </c>
      <c r="BQ25" s="666">
        <f t="shared" si="109"/>
        <v>0</v>
      </c>
      <c r="BR25" s="666">
        <f t="shared" si="109"/>
        <v>0</v>
      </c>
      <c r="BS25" s="666">
        <f t="shared" si="109"/>
        <v>0</v>
      </c>
      <c r="BT25" s="666">
        <f t="shared" si="109"/>
        <v>47810</v>
      </c>
      <c r="BU25" s="666">
        <f t="shared" si="109"/>
        <v>0</v>
      </c>
      <c r="BV25" s="666">
        <f t="shared" si="109"/>
        <v>47810</v>
      </c>
      <c r="BW25" s="666">
        <f t="shared" ref="BW25:CI25" si="110">IF(BW3=1,IF(BW17&gt;BW9,BW9*$E$8,BW17*$E$8),0)</f>
        <v>0</v>
      </c>
      <c r="BX25" s="666">
        <f t="shared" si="110"/>
        <v>47810</v>
      </c>
      <c r="BY25" s="666">
        <f t="shared" si="110"/>
        <v>0</v>
      </c>
      <c r="BZ25" s="666">
        <f t="shared" si="110"/>
        <v>47810</v>
      </c>
      <c r="CA25" s="666">
        <f t="shared" si="110"/>
        <v>0</v>
      </c>
      <c r="CB25" s="666">
        <f t="shared" si="110"/>
        <v>47810</v>
      </c>
      <c r="CC25" s="666">
        <f t="shared" si="110"/>
        <v>0</v>
      </c>
      <c r="CD25" s="666">
        <f t="shared" si="110"/>
        <v>47810</v>
      </c>
      <c r="CE25" s="666">
        <f t="shared" si="110"/>
        <v>0</v>
      </c>
      <c r="CF25" s="666">
        <f t="shared" si="110"/>
        <v>47810</v>
      </c>
      <c r="CG25" s="666">
        <f t="shared" si="110"/>
        <v>0</v>
      </c>
      <c r="CH25" s="666">
        <f t="shared" si="110"/>
        <v>0</v>
      </c>
      <c r="CI25" s="666">
        <f t="shared" si="110"/>
        <v>0</v>
      </c>
    </row>
    <row r="26" spans="1:87" x14ac:dyDescent="0.25">
      <c r="A26" s="644" t="s">
        <v>33</v>
      </c>
      <c r="B26" s="661">
        <v>13092</v>
      </c>
      <c r="C26" s="656">
        <f>B26-B6</f>
        <v>-299</v>
      </c>
      <c r="D26" s="652">
        <f t="shared" ref="D26:D28" si="111">C26*C6</f>
        <v>-209.29999999999998</v>
      </c>
      <c r="E26" s="654">
        <f t="shared" ref="E26:E28" si="112">IF(C26&gt;0,C26*D6,0)</f>
        <v>0</v>
      </c>
      <c r="F26" s="660">
        <f t="shared" ref="F26:F28" si="113">IF(C26&lt;0,C26*F6,0)</f>
        <v>-1794</v>
      </c>
      <c r="G26" s="660"/>
      <c r="H26" s="660"/>
      <c r="J26" s="670" t="s">
        <v>2451</v>
      </c>
      <c r="K26" s="671">
        <f>(-1)*$G$9</f>
        <v>-41599.199999999997</v>
      </c>
      <c r="L26" s="671">
        <f t="shared" ref="L26:BW26" si="114">(-1)*$G$9</f>
        <v>-41599.199999999997</v>
      </c>
      <c r="M26" s="671">
        <f t="shared" si="114"/>
        <v>-41599.199999999997</v>
      </c>
      <c r="N26" s="671">
        <f t="shared" si="114"/>
        <v>-41599.199999999997</v>
      </c>
      <c r="O26" s="671">
        <f t="shared" si="114"/>
        <v>-41599.199999999997</v>
      </c>
      <c r="P26" s="671">
        <f t="shared" si="114"/>
        <v>-41599.199999999997</v>
      </c>
      <c r="Q26" s="671">
        <f t="shared" si="114"/>
        <v>-41599.199999999997</v>
      </c>
      <c r="R26" s="671">
        <f t="shared" si="114"/>
        <v>-41599.199999999997</v>
      </c>
      <c r="S26" s="671">
        <f t="shared" si="114"/>
        <v>-41599.199999999997</v>
      </c>
      <c r="T26" s="671">
        <f t="shared" si="114"/>
        <v>-41599.199999999997</v>
      </c>
      <c r="U26" s="671">
        <f t="shared" si="114"/>
        <v>-41599.199999999997</v>
      </c>
      <c r="V26" s="671">
        <f t="shared" si="114"/>
        <v>-41599.199999999997</v>
      </c>
      <c r="W26" s="671">
        <f t="shared" si="114"/>
        <v>-41599.199999999997</v>
      </c>
      <c r="X26" s="671">
        <f t="shared" si="114"/>
        <v>-41599.199999999997</v>
      </c>
      <c r="Y26" s="671">
        <f t="shared" si="114"/>
        <v>-41599.199999999997</v>
      </c>
      <c r="Z26" s="671">
        <f t="shared" si="114"/>
        <v>-41599.199999999997</v>
      </c>
      <c r="AA26" s="671">
        <f t="shared" si="114"/>
        <v>-41599.199999999997</v>
      </c>
      <c r="AB26" s="671">
        <f t="shared" si="114"/>
        <v>-41599.199999999997</v>
      </c>
      <c r="AC26" s="671">
        <f t="shared" si="114"/>
        <v>-41599.199999999997</v>
      </c>
      <c r="AD26" s="671">
        <f t="shared" si="114"/>
        <v>-41599.199999999997</v>
      </c>
      <c r="AE26" s="671">
        <f t="shared" si="114"/>
        <v>-41599.199999999997</v>
      </c>
      <c r="AF26" s="671">
        <f t="shared" si="114"/>
        <v>-41599.199999999997</v>
      </c>
      <c r="AG26" s="671">
        <f t="shared" si="114"/>
        <v>-41599.199999999997</v>
      </c>
      <c r="AH26" s="671">
        <f t="shared" si="114"/>
        <v>-41599.199999999997</v>
      </c>
      <c r="AI26" s="671">
        <f t="shared" si="114"/>
        <v>-41599.199999999997</v>
      </c>
      <c r="AJ26" s="671">
        <f t="shared" si="114"/>
        <v>-41599.199999999997</v>
      </c>
      <c r="AK26" s="671">
        <f t="shared" si="114"/>
        <v>-41599.199999999997</v>
      </c>
      <c r="AL26" s="671">
        <f t="shared" si="114"/>
        <v>-41599.199999999997</v>
      </c>
      <c r="AM26" s="671">
        <f t="shared" si="114"/>
        <v>-41599.199999999997</v>
      </c>
      <c r="AN26" s="671">
        <f t="shared" si="114"/>
        <v>-41599.199999999997</v>
      </c>
      <c r="AO26" s="671">
        <f t="shared" si="114"/>
        <v>-41599.199999999997</v>
      </c>
      <c r="AP26" s="671">
        <f t="shared" si="114"/>
        <v>-41599.199999999997</v>
      </c>
      <c r="AQ26" s="671">
        <f t="shared" si="114"/>
        <v>-41599.199999999997</v>
      </c>
      <c r="AR26" s="671">
        <f t="shared" si="114"/>
        <v>-41599.199999999997</v>
      </c>
      <c r="AS26" s="671">
        <f t="shared" si="114"/>
        <v>-41599.199999999997</v>
      </c>
      <c r="AT26" s="671">
        <f t="shared" si="114"/>
        <v>-41599.199999999997</v>
      </c>
      <c r="AU26" s="671">
        <f t="shared" si="114"/>
        <v>-41599.199999999997</v>
      </c>
      <c r="AV26" s="671">
        <f t="shared" si="114"/>
        <v>-41599.199999999997</v>
      </c>
      <c r="AW26" s="671">
        <f t="shared" si="114"/>
        <v>-41599.199999999997</v>
      </c>
      <c r="AX26" s="671">
        <f t="shared" si="114"/>
        <v>-41599.199999999997</v>
      </c>
      <c r="AY26" s="671">
        <f t="shared" si="114"/>
        <v>-41599.199999999997</v>
      </c>
      <c r="AZ26" s="671">
        <f t="shared" si="114"/>
        <v>-41599.199999999997</v>
      </c>
      <c r="BA26" s="671">
        <f t="shared" si="114"/>
        <v>-41599.199999999997</v>
      </c>
      <c r="BB26" s="671">
        <f t="shared" si="114"/>
        <v>-41599.199999999997</v>
      </c>
      <c r="BC26" s="671">
        <f t="shared" si="114"/>
        <v>-41599.199999999997</v>
      </c>
      <c r="BD26" s="671">
        <f t="shared" si="114"/>
        <v>-41599.199999999997</v>
      </c>
      <c r="BE26" s="671">
        <f t="shared" si="114"/>
        <v>-41599.199999999997</v>
      </c>
      <c r="BF26" s="671">
        <f t="shared" si="114"/>
        <v>-41599.199999999997</v>
      </c>
      <c r="BG26" s="671">
        <f t="shared" si="114"/>
        <v>-41599.199999999997</v>
      </c>
      <c r="BH26" s="671">
        <f t="shared" si="114"/>
        <v>-41599.199999999997</v>
      </c>
      <c r="BI26" s="671">
        <f t="shared" si="114"/>
        <v>-41599.199999999997</v>
      </c>
      <c r="BJ26" s="671">
        <f t="shared" si="114"/>
        <v>-41599.199999999997</v>
      </c>
      <c r="BK26" s="671">
        <f t="shared" si="114"/>
        <v>-41599.199999999997</v>
      </c>
      <c r="BL26" s="671">
        <f t="shared" si="114"/>
        <v>-41599.199999999997</v>
      </c>
      <c r="BM26" s="671">
        <f t="shared" si="114"/>
        <v>-41599.199999999997</v>
      </c>
      <c r="BN26" s="671">
        <f t="shared" si="114"/>
        <v>-41599.199999999997</v>
      </c>
      <c r="BO26" s="671">
        <f t="shared" si="114"/>
        <v>-41599.199999999997</v>
      </c>
      <c r="BP26" s="671">
        <f t="shared" si="114"/>
        <v>-41599.199999999997</v>
      </c>
      <c r="BQ26" s="671">
        <f t="shared" si="114"/>
        <v>-41599.199999999997</v>
      </c>
      <c r="BR26" s="671">
        <f t="shared" si="114"/>
        <v>-41599.199999999997</v>
      </c>
      <c r="BS26" s="671">
        <f t="shared" si="114"/>
        <v>-41599.199999999997</v>
      </c>
      <c r="BT26" s="671">
        <f t="shared" si="114"/>
        <v>-41599.199999999997</v>
      </c>
      <c r="BU26" s="671">
        <f t="shared" si="114"/>
        <v>-41599.199999999997</v>
      </c>
      <c r="BV26" s="671">
        <f t="shared" si="114"/>
        <v>-41599.199999999997</v>
      </c>
      <c r="BW26" s="671">
        <f t="shared" si="114"/>
        <v>-41599.199999999997</v>
      </c>
      <c r="BX26" s="671">
        <f t="shared" ref="BX26:CI26" si="115">(-1)*$G$9</f>
        <v>-41599.199999999997</v>
      </c>
      <c r="BY26" s="671">
        <f t="shared" si="115"/>
        <v>-41599.199999999997</v>
      </c>
      <c r="BZ26" s="671">
        <f t="shared" si="115"/>
        <v>-41599.199999999997</v>
      </c>
      <c r="CA26" s="671">
        <f t="shared" si="115"/>
        <v>-41599.199999999997</v>
      </c>
      <c r="CB26" s="671">
        <f t="shared" si="115"/>
        <v>-41599.199999999997</v>
      </c>
      <c r="CC26" s="671">
        <f t="shared" si="115"/>
        <v>-41599.199999999997</v>
      </c>
      <c r="CD26" s="671">
        <f t="shared" si="115"/>
        <v>-41599.199999999997</v>
      </c>
      <c r="CE26" s="671">
        <f t="shared" si="115"/>
        <v>-41599.199999999997</v>
      </c>
      <c r="CF26" s="671">
        <f t="shared" si="115"/>
        <v>-41599.199999999997</v>
      </c>
      <c r="CG26" s="671">
        <f t="shared" si="115"/>
        <v>-41599.199999999997</v>
      </c>
      <c r="CH26" s="671">
        <f t="shared" si="115"/>
        <v>-41599.199999999997</v>
      </c>
      <c r="CI26" s="671">
        <f t="shared" si="115"/>
        <v>-41599.199999999997</v>
      </c>
    </row>
    <row r="27" spans="1:87" x14ac:dyDescent="0.25">
      <c r="A27" s="644" t="s">
        <v>34</v>
      </c>
      <c r="B27" s="661">
        <v>11037</v>
      </c>
      <c r="C27" s="656">
        <f>B27-B7</f>
        <v>-252</v>
      </c>
      <c r="D27" s="652">
        <f t="shared" si="111"/>
        <v>-252</v>
      </c>
      <c r="E27" s="654">
        <f t="shared" si="112"/>
        <v>0</v>
      </c>
      <c r="F27" s="660">
        <f t="shared" si="113"/>
        <v>-1512</v>
      </c>
      <c r="G27" s="660"/>
      <c r="H27" s="660"/>
      <c r="J27" s="120" t="s">
        <v>2452</v>
      </c>
      <c r="K27" s="665">
        <f>IF(K14&gt;K6,$C$5*K6*(-1),K14*$C$5*(-1))</f>
        <v>-13918.45</v>
      </c>
      <c r="L27" s="665">
        <f t="shared" ref="L27:Q27" si="116">IF(L14&gt;L6,$C$5*L6*(-1),L14*$C$5*(-1))</f>
        <v>-13956.67</v>
      </c>
      <c r="M27" s="665">
        <f t="shared" si="116"/>
        <v>-13994.89</v>
      </c>
      <c r="N27" s="665">
        <f t="shared" si="116"/>
        <v>-14033.11</v>
      </c>
      <c r="O27" s="665">
        <f t="shared" si="116"/>
        <v>-14071.33</v>
      </c>
      <c r="P27" s="665">
        <f t="shared" si="116"/>
        <v>-14109.550000000001</v>
      </c>
      <c r="Q27" s="665">
        <f t="shared" si="116"/>
        <v>-14147.77</v>
      </c>
      <c r="R27" s="665">
        <f t="shared" ref="R27:AP27" si="117">IF(R14&gt;R6,$C$5*R6*(-1),R14*$C$5*(-1))</f>
        <v>-14185.99</v>
      </c>
      <c r="S27" s="665">
        <f t="shared" si="117"/>
        <v>-14224.210000000001</v>
      </c>
      <c r="T27" s="665">
        <f t="shared" si="117"/>
        <v>-14262.43</v>
      </c>
      <c r="U27" s="665">
        <f t="shared" si="117"/>
        <v>-14300.65</v>
      </c>
      <c r="V27" s="665">
        <f t="shared" si="117"/>
        <v>-14338.87</v>
      </c>
      <c r="W27" s="665">
        <f t="shared" si="117"/>
        <v>-14377.09</v>
      </c>
      <c r="X27" s="665">
        <f t="shared" si="117"/>
        <v>-14402.57</v>
      </c>
      <c r="Y27" s="665">
        <f t="shared" si="117"/>
        <v>-14428.050000000001</v>
      </c>
      <c r="Z27" s="665">
        <f t="shared" si="117"/>
        <v>-14453.53</v>
      </c>
      <c r="AA27" s="665">
        <f t="shared" si="117"/>
        <v>-14479.01</v>
      </c>
      <c r="AB27" s="665">
        <f t="shared" si="117"/>
        <v>-14504.49</v>
      </c>
      <c r="AC27" s="665">
        <f t="shared" si="117"/>
        <v>-14529.97</v>
      </c>
      <c r="AD27" s="665">
        <f t="shared" si="117"/>
        <v>-14555.45</v>
      </c>
      <c r="AE27" s="665">
        <f t="shared" si="117"/>
        <v>-14580.93</v>
      </c>
      <c r="AF27" s="665">
        <f t="shared" si="117"/>
        <v>-14606.41</v>
      </c>
      <c r="AG27" s="665">
        <f t="shared" si="117"/>
        <v>-14631.89</v>
      </c>
      <c r="AH27" s="665">
        <f t="shared" si="117"/>
        <v>-14657.37</v>
      </c>
      <c r="AI27" s="665">
        <f t="shared" si="117"/>
        <v>-14682.85</v>
      </c>
      <c r="AJ27" s="665">
        <f t="shared" si="117"/>
        <v>-14708.33</v>
      </c>
      <c r="AK27" s="665">
        <f t="shared" si="117"/>
        <v>-14733.81</v>
      </c>
      <c r="AL27" s="665">
        <f t="shared" si="117"/>
        <v>-14759.29</v>
      </c>
      <c r="AM27" s="665">
        <f t="shared" si="117"/>
        <v>-14784.77</v>
      </c>
      <c r="AN27" s="665">
        <f t="shared" si="117"/>
        <v>-16263.247000000003</v>
      </c>
      <c r="AO27" s="665">
        <f t="shared" si="117"/>
        <v>-16288.727000000003</v>
      </c>
      <c r="AP27" s="665">
        <f t="shared" si="117"/>
        <v>-16314.207000000002</v>
      </c>
      <c r="AQ27" s="665">
        <f t="shared" ref="AQ27:BF27" si="118">IF(AQ14&gt;AQ6,$C$5*AQ6*(-1),AQ14*$C$5*(-1))</f>
        <v>-16339.687000000002</v>
      </c>
      <c r="AR27" s="665">
        <f t="shared" si="118"/>
        <v>-16365.167000000003</v>
      </c>
      <c r="AS27" s="665">
        <f t="shared" si="118"/>
        <v>-16390.647000000001</v>
      </c>
      <c r="AT27" s="665">
        <f t="shared" si="118"/>
        <v>-16416.127000000004</v>
      </c>
      <c r="AU27" s="665">
        <f t="shared" si="118"/>
        <v>-16441.607000000004</v>
      </c>
      <c r="AV27" s="665">
        <f t="shared" si="118"/>
        <v>-16467.087000000003</v>
      </c>
      <c r="AW27" s="665">
        <f t="shared" si="118"/>
        <v>-16492.567000000003</v>
      </c>
      <c r="AX27" s="665">
        <f t="shared" si="118"/>
        <v>-16518.047000000002</v>
      </c>
      <c r="AY27" s="665">
        <f t="shared" si="118"/>
        <v>-16543.527000000002</v>
      </c>
      <c r="AZ27" s="665">
        <f t="shared" si="118"/>
        <v>-16569.007000000001</v>
      </c>
      <c r="BA27" s="665">
        <f t="shared" si="118"/>
        <v>-16594.487000000001</v>
      </c>
      <c r="BB27" s="665">
        <f t="shared" si="118"/>
        <v>-16619.967000000004</v>
      </c>
      <c r="BC27" s="665">
        <f t="shared" si="118"/>
        <v>-16645.447000000004</v>
      </c>
      <c r="BD27" s="665">
        <f t="shared" si="118"/>
        <v>-16670.927000000003</v>
      </c>
      <c r="BE27" s="665">
        <f t="shared" si="118"/>
        <v>-16696.407000000003</v>
      </c>
      <c r="BF27" s="665">
        <f t="shared" si="118"/>
        <v>-16721.887000000002</v>
      </c>
      <c r="BG27" s="665">
        <f t="shared" ref="BG27:BV27" si="119">IF(BG14&gt;BG6,$C$5*BG6*(-1),BG14*$C$5*(-1))</f>
        <v>-16747.367000000002</v>
      </c>
      <c r="BH27" s="665">
        <f t="shared" si="119"/>
        <v>-16772.847000000002</v>
      </c>
      <c r="BI27" s="665">
        <f t="shared" si="119"/>
        <v>-16798.327000000001</v>
      </c>
      <c r="BJ27" s="665">
        <f t="shared" si="119"/>
        <v>-16823.807000000004</v>
      </c>
      <c r="BK27" s="665">
        <f t="shared" si="119"/>
        <v>-16849.287000000004</v>
      </c>
      <c r="BL27" s="665">
        <f t="shared" si="119"/>
        <v>-16874.767000000003</v>
      </c>
      <c r="BM27" s="665">
        <f t="shared" si="119"/>
        <v>-16900.247000000003</v>
      </c>
      <c r="BN27" s="665">
        <f t="shared" si="119"/>
        <v>-16925.727000000003</v>
      </c>
      <c r="BO27" s="665">
        <f t="shared" si="119"/>
        <v>-16951.207000000002</v>
      </c>
      <c r="BP27" s="665">
        <f t="shared" si="119"/>
        <v>-16976.687000000002</v>
      </c>
      <c r="BQ27" s="665">
        <f t="shared" si="119"/>
        <v>-17002.167000000001</v>
      </c>
      <c r="BR27" s="665">
        <f t="shared" si="119"/>
        <v>-17027.647000000001</v>
      </c>
      <c r="BS27" s="665">
        <f t="shared" si="119"/>
        <v>-17053.127000000004</v>
      </c>
      <c r="BT27" s="665">
        <f t="shared" si="119"/>
        <v>-17053.5</v>
      </c>
      <c r="BU27" s="665">
        <f t="shared" si="119"/>
        <v>-17053.5</v>
      </c>
      <c r="BV27" s="665">
        <f t="shared" si="119"/>
        <v>-17053.5</v>
      </c>
      <c r="BW27" s="665">
        <f t="shared" ref="BW27:CI27" si="120">IF(BW14&gt;BW6,$C$5*BW6*(-1),BW14*$C$5*(-1))</f>
        <v>-17053.5</v>
      </c>
      <c r="BX27" s="665">
        <f t="shared" si="120"/>
        <v>-17053.5</v>
      </c>
      <c r="BY27" s="665">
        <f t="shared" si="120"/>
        <v>-17053.5</v>
      </c>
      <c r="BZ27" s="665">
        <f t="shared" si="120"/>
        <v>-17053.5</v>
      </c>
      <c r="CA27" s="665">
        <f t="shared" si="120"/>
        <v>-17053.5</v>
      </c>
      <c r="CB27" s="665">
        <f t="shared" si="120"/>
        <v>-17053.5</v>
      </c>
      <c r="CC27" s="665">
        <f t="shared" si="120"/>
        <v>-17053.5</v>
      </c>
      <c r="CD27" s="665">
        <f t="shared" si="120"/>
        <v>-17053.5</v>
      </c>
      <c r="CE27" s="665">
        <f t="shared" si="120"/>
        <v>-17053.5</v>
      </c>
      <c r="CF27" s="665">
        <f t="shared" si="120"/>
        <v>-17053.5</v>
      </c>
      <c r="CG27" s="665">
        <f t="shared" si="120"/>
        <v>-17053.5</v>
      </c>
      <c r="CH27" s="665">
        <f t="shared" si="120"/>
        <v>-17053.5</v>
      </c>
      <c r="CI27" s="665">
        <f t="shared" si="120"/>
        <v>-17053.5</v>
      </c>
    </row>
    <row r="28" spans="1:87" x14ac:dyDescent="0.25">
      <c r="A28" s="644" t="s">
        <v>35</v>
      </c>
      <c r="B28" s="661">
        <v>1366</v>
      </c>
      <c r="C28" s="656">
        <f>B28-B8</f>
        <v>-31</v>
      </c>
      <c r="D28" s="652">
        <f t="shared" si="111"/>
        <v>-77.5</v>
      </c>
      <c r="E28" s="654">
        <f t="shared" si="112"/>
        <v>0</v>
      </c>
      <c r="F28" s="660">
        <f t="shared" si="113"/>
        <v>-186</v>
      </c>
      <c r="G28" s="660"/>
      <c r="H28" s="660"/>
      <c r="J28" s="120" t="s">
        <v>2453</v>
      </c>
      <c r="K28" s="665">
        <f>IF(K15&gt;K7,$C$6*K7*(-1),K15*$C$6*(-1))</f>
        <v>-7479.2549999999992</v>
      </c>
      <c r="L28" s="665">
        <f t="shared" ref="L28:Q28" si="121">IF(L15&gt;L7,$C$6*L7*(-1),L15*$C$6*(-1))</f>
        <v>-7499.7929999999997</v>
      </c>
      <c r="M28" s="665">
        <f t="shared" si="121"/>
        <v>-7520.3309999999992</v>
      </c>
      <c r="N28" s="665">
        <f t="shared" si="121"/>
        <v>-7540.8689999999997</v>
      </c>
      <c r="O28" s="665">
        <f t="shared" si="121"/>
        <v>-7561.4069999999983</v>
      </c>
      <c r="P28" s="665">
        <f t="shared" si="121"/>
        <v>-7581.9449999999988</v>
      </c>
      <c r="Q28" s="665">
        <f t="shared" si="121"/>
        <v>-7602.4829999999984</v>
      </c>
      <c r="R28" s="665">
        <f t="shared" ref="R28:AP28" si="122">IF(R15&gt;R7,$C$6*R7*(-1),R15*$C$6*(-1))</f>
        <v>-7623.0209999999988</v>
      </c>
      <c r="S28" s="665">
        <f t="shared" si="122"/>
        <v>-7643.5589999999984</v>
      </c>
      <c r="T28" s="665">
        <f t="shared" si="122"/>
        <v>-7664.0969999999988</v>
      </c>
      <c r="U28" s="665">
        <f t="shared" si="122"/>
        <v>-7684.6349999999993</v>
      </c>
      <c r="V28" s="665">
        <f t="shared" si="122"/>
        <v>-7705.1729999999989</v>
      </c>
      <c r="W28" s="665">
        <f t="shared" si="122"/>
        <v>-7725.7109999999993</v>
      </c>
      <c r="X28" s="665">
        <f t="shared" si="122"/>
        <v>-7739.4029999999984</v>
      </c>
      <c r="Y28" s="665">
        <f t="shared" si="122"/>
        <v>-7753.0949999999984</v>
      </c>
      <c r="Z28" s="665">
        <f t="shared" si="122"/>
        <v>-7766.7869999999994</v>
      </c>
      <c r="AA28" s="665">
        <f t="shared" si="122"/>
        <v>-7780.4789999999994</v>
      </c>
      <c r="AB28" s="665">
        <f t="shared" si="122"/>
        <v>-7794.1709999999985</v>
      </c>
      <c r="AC28" s="665">
        <f t="shared" si="122"/>
        <v>-7807.8629999999994</v>
      </c>
      <c r="AD28" s="665">
        <f t="shared" si="122"/>
        <v>-7821.5549999999994</v>
      </c>
      <c r="AE28" s="665">
        <f t="shared" si="122"/>
        <v>-7835.2469999999985</v>
      </c>
      <c r="AF28" s="665">
        <f t="shared" si="122"/>
        <v>-7848.9389999999985</v>
      </c>
      <c r="AG28" s="665">
        <f t="shared" si="122"/>
        <v>-7862.6309999999994</v>
      </c>
      <c r="AH28" s="665">
        <f t="shared" si="122"/>
        <v>-7876.3229999999994</v>
      </c>
      <c r="AI28" s="665">
        <f t="shared" si="122"/>
        <v>-7890.0149999999985</v>
      </c>
      <c r="AJ28" s="665">
        <f t="shared" si="122"/>
        <v>-7903.7069999999985</v>
      </c>
      <c r="AK28" s="665">
        <f t="shared" si="122"/>
        <v>-7917.3989999999994</v>
      </c>
      <c r="AL28" s="665">
        <f t="shared" si="122"/>
        <v>-7931.0909999999985</v>
      </c>
      <c r="AM28" s="665">
        <f t="shared" si="122"/>
        <v>-7944.7829999999985</v>
      </c>
      <c r="AN28" s="665">
        <f t="shared" si="122"/>
        <v>-8739.2613000000001</v>
      </c>
      <c r="AO28" s="665">
        <f t="shared" si="122"/>
        <v>-8752.9532999999992</v>
      </c>
      <c r="AP28" s="665">
        <f t="shared" si="122"/>
        <v>-8766.6453000000001</v>
      </c>
      <c r="AQ28" s="665">
        <f t="shared" ref="AQ28:BF28" si="123">IF(AQ15&gt;AQ7,$C$6*AQ7*(-1),AQ15*$C$6*(-1))</f>
        <v>-8780.3373000000011</v>
      </c>
      <c r="AR28" s="665">
        <f t="shared" si="123"/>
        <v>-8794.0293000000001</v>
      </c>
      <c r="AS28" s="665">
        <f t="shared" si="123"/>
        <v>-8807.7212999999992</v>
      </c>
      <c r="AT28" s="665">
        <f t="shared" si="123"/>
        <v>-8821.4133000000002</v>
      </c>
      <c r="AU28" s="665">
        <f t="shared" si="123"/>
        <v>-8835.1053000000011</v>
      </c>
      <c r="AV28" s="665">
        <f t="shared" si="123"/>
        <v>-8848.7973000000002</v>
      </c>
      <c r="AW28" s="665">
        <f t="shared" si="123"/>
        <v>-8862.4892999999993</v>
      </c>
      <c r="AX28" s="665">
        <f t="shared" si="123"/>
        <v>-8876.1813000000002</v>
      </c>
      <c r="AY28" s="665">
        <f t="shared" si="123"/>
        <v>-8889.8733000000011</v>
      </c>
      <c r="AZ28" s="665">
        <f t="shared" si="123"/>
        <v>-8903.5653000000002</v>
      </c>
      <c r="BA28" s="665">
        <f t="shared" si="123"/>
        <v>-8917.2572999999993</v>
      </c>
      <c r="BB28" s="665">
        <f t="shared" si="123"/>
        <v>-8930.9493000000002</v>
      </c>
      <c r="BC28" s="665">
        <f t="shared" si="123"/>
        <v>-8944.6412999999993</v>
      </c>
      <c r="BD28" s="665">
        <f t="shared" si="123"/>
        <v>-8958.3333000000002</v>
      </c>
      <c r="BE28" s="665">
        <f t="shared" si="123"/>
        <v>-8972.0252999999993</v>
      </c>
      <c r="BF28" s="665">
        <f t="shared" si="123"/>
        <v>-8985.7173000000003</v>
      </c>
      <c r="BG28" s="665">
        <f t="shared" ref="BG28:BV28" si="124">IF(BG15&gt;BG7,$C$6*BG7*(-1),BG15*$C$6*(-1))</f>
        <v>-8999.4092999999993</v>
      </c>
      <c r="BH28" s="665">
        <f t="shared" si="124"/>
        <v>-9013.1013000000003</v>
      </c>
      <c r="BI28" s="665">
        <f t="shared" si="124"/>
        <v>-9026.7933000000012</v>
      </c>
      <c r="BJ28" s="665">
        <f t="shared" si="124"/>
        <v>-9040.4853000000003</v>
      </c>
      <c r="BK28" s="665">
        <f t="shared" si="124"/>
        <v>-9054.1772999999994</v>
      </c>
      <c r="BL28" s="665">
        <f t="shared" si="124"/>
        <v>-9067.8693000000003</v>
      </c>
      <c r="BM28" s="665">
        <f t="shared" si="124"/>
        <v>-9081.5613000000012</v>
      </c>
      <c r="BN28" s="665">
        <f t="shared" si="124"/>
        <v>-9095.2533000000003</v>
      </c>
      <c r="BO28" s="665">
        <f t="shared" si="124"/>
        <v>-9108.9452999999994</v>
      </c>
      <c r="BP28" s="665">
        <f t="shared" si="124"/>
        <v>-9122.6373000000003</v>
      </c>
      <c r="BQ28" s="665">
        <f t="shared" si="124"/>
        <v>-9136.3292999999994</v>
      </c>
      <c r="BR28" s="665">
        <f t="shared" si="124"/>
        <v>-9150.0213000000003</v>
      </c>
      <c r="BS28" s="665">
        <f t="shared" si="124"/>
        <v>-9163.7132999999994</v>
      </c>
      <c r="BT28" s="665">
        <f t="shared" si="124"/>
        <v>-9164.4</v>
      </c>
      <c r="BU28" s="665">
        <f t="shared" si="124"/>
        <v>-9164.4</v>
      </c>
      <c r="BV28" s="665">
        <f t="shared" si="124"/>
        <v>-9164.4</v>
      </c>
      <c r="BW28" s="665">
        <f t="shared" ref="BW28:CI28" si="125">IF(BW15&gt;BW7,$C$6*BW7*(-1),BW15*$C$6*(-1))</f>
        <v>-9164.4</v>
      </c>
      <c r="BX28" s="665">
        <f t="shared" si="125"/>
        <v>-9164.4</v>
      </c>
      <c r="BY28" s="665">
        <f t="shared" si="125"/>
        <v>-9164.4</v>
      </c>
      <c r="BZ28" s="665">
        <f t="shared" si="125"/>
        <v>-9164.4</v>
      </c>
      <c r="CA28" s="665">
        <f t="shared" si="125"/>
        <v>-9164.4</v>
      </c>
      <c r="CB28" s="665">
        <f t="shared" si="125"/>
        <v>-9164.4</v>
      </c>
      <c r="CC28" s="665">
        <f t="shared" si="125"/>
        <v>-9164.4</v>
      </c>
      <c r="CD28" s="665">
        <f t="shared" si="125"/>
        <v>-9164.4</v>
      </c>
      <c r="CE28" s="665">
        <f t="shared" si="125"/>
        <v>-9164.4</v>
      </c>
      <c r="CF28" s="665">
        <f t="shared" si="125"/>
        <v>-9164.4</v>
      </c>
      <c r="CG28" s="665">
        <f t="shared" si="125"/>
        <v>-9164.4</v>
      </c>
      <c r="CH28" s="665">
        <f t="shared" si="125"/>
        <v>-9164.4</v>
      </c>
      <c r="CI28" s="665">
        <f t="shared" si="125"/>
        <v>-9164.4</v>
      </c>
    </row>
    <row r="29" spans="1:87" x14ac:dyDescent="0.25">
      <c r="J29" s="120" t="s">
        <v>2454</v>
      </c>
      <c r="K29" s="665">
        <f>IF(K16&gt;K8,$C$7*K8*(-1),K16*$C$7*(-1))</f>
        <v>-9007.6624999999985</v>
      </c>
      <c r="L29" s="665">
        <f t="shared" ref="L29:Q29" si="126">IF(L16&gt;L8,$C$7*L8*(-1),L16*$C$7*(-1))</f>
        <v>-9032.3974999999991</v>
      </c>
      <c r="M29" s="665">
        <f t="shared" si="126"/>
        <v>-9057.1324999999997</v>
      </c>
      <c r="N29" s="665">
        <f t="shared" si="126"/>
        <v>-9081.8674999999985</v>
      </c>
      <c r="O29" s="665">
        <f t="shared" si="126"/>
        <v>-9106.6024999999991</v>
      </c>
      <c r="P29" s="665">
        <f t="shared" si="126"/>
        <v>-9131.3374999999996</v>
      </c>
      <c r="Q29" s="665">
        <f t="shared" si="126"/>
        <v>-9156.0724999999984</v>
      </c>
      <c r="R29" s="665">
        <f t="shared" ref="R29:AP29" si="127">IF(R16&gt;R8,$C$7*R8*(-1),R16*$C$7*(-1))</f>
        <v>-9180.807499999999</v>
      </c>
      <c r="S29" s="665">
        <f t="shared" si="127"/>
        <v>-9205.5424999999996</v>
      </c>
      <c r="T29" s="665">
        <f t="shared" si="127"/>
        <v>-9230.2774999999983</v>
      </c>
      <c r="U29" s="665">
        <f t="shared" si="127"/>
        <v>-9255.0124999999989</v>
      </c>
      <c r="V29" s="665">
        <f t="shared" si="127"/>
        <v>-9279.7474999999995</v>
      </c>
      <c r="W29" s="665">
        <f t="shared" si="127"/>
        <v>-9304.4824999999983</v>
      </c>
      <c r="X29" s="665">
        <f t="shared" si="127"/>
        <v>-9320.9724999999999</v>
      </c>
      <c r="Y29" s="665">
        <f t="shared" si="127"/>
        <v>-9337.4624999999996</v>
      </c>
      <c r="Z29" s="665">
        <f t="shared" si="127"/>
        <v>-9353.9524999999994</v>
      </c>
      <c r="AA29" s="665">
        <f t="shared" si="127"/>
        <v>-9370.4424999999992</v>
      </c>
      <c r="AB29" s="665">
        <f t="shared" si="127"/>
        <v>-9386.932499999999</v>
      </c>
      <c r="AC29" s="665">
        <f t="shared" si="127"/>
        <v>-9403.4224999999988</v>
      </c>
      <c r="AD29" s="665">
        <f t="shared" si="127"/>
        <v>-9419.9124999999985</v>
      </c>
      <c r="AE29" s="665">
        <f t="shared" si="127"/>
        <v>-9436.4024999999983</v>
      </c>
      <c r="AF29" s="665">
        <f t="shared" si="127"/>
        <v>-9452.8924999999999</v>
      </c>
      <c r="AG29" s="665">
        <f t="shared" si="127"/>
        <v>-9469.3824999999997</v>
      </c>
      <c r="AH29" s="665">
        <f t="shared" si="127"/>
        <v>-9485.8724999999995</v>
      </c>
      <c r="AI29" s="665">
        <f t="shared" si="127"/>
        <v>-9502.3624999999993</v>
      </c>
      <c r="AJ29" s="665">
        <f t="shared" si="127"/>
        <v>-9518.8524999999991</v>
      </c>
      <c r="AK29" s="665">
        <f t="shared" si="127"/>
        <v>-9535.3424999999988</v>
      </c>
      <c r="AL29" s="665">
        <f t="shared" si="127"/>
        <v>-9551.8324999999986</v>
      </c>
      <c r="AM29" s="665">
        <f t="shared" si="127"/>
        <v>-9568.3224999999984</v>
      </c>
      <c r="AN29" s="665">
        <f t="shared" si="127"/>
        <v>-10525.15475</v>
      </c>
      <c r="AO29" s="665">
        <f t="shared" si="127"/>
        <v>-10541.644750000001</v>
      </c>
      <c r="AP29" s="665">
        <f t="shared" si="127"/>
        <v>-10558.134750000001</v>
      </c>
      <c r="AQ29" s="665">
        <f t="shared" ref="AQ29:BF29" si="128">IF(AQ16&gt;AQ8,$C$7*AQ8*(-1),AQ16*$C$7*(-1))</f>
        <v>-10574.624750000001</v>
      </c>
      <c r="AR29" s="665">
        <f t="shared" si="128"/>
        <v>-10591.114750000001</v>
      </c>
      <c r="AS29" s="665">
        <f t="shared" si="128"/>
        <v>-10607.60475</v>
      </c>
      <c r="AT29" s="665">
        <f t="shared" si="128"/>
        <v>-10624.09475</v>
      </c>
      <c r="AU29" s="665">
        <f t="shared" si="128"/>
        <v>-10640.58475</v>
      </c>
      <c r="AV29" s="665">
        <f t="shared" si="128"/>
        <v>-10657.07475</v>
      </c>
      <c r="AW29" s="665">
        <f t="shared" si="128"/>
        <v>-10673.564750000001</v>
      </c>
      <c r="AX29" s="665">
        <f t="shared" si="128"/>
        <v>-10690.054750000001</v>
      </c>
      <c r="AY29" s="665">
        <f t="shared" si="128"/>
        <v>-10706.544750000001</v>
      </c>
      <c r="AZ29" s="665">
        <f t="shared" si="128"/>
        <v>-10723.034750000001</v>
      </c>
      <c r="BA29" s="665">
        <f t="shared" si="128"/>
        <v>-10739.52475</v>
      </c>
      <c r="BB29" s="665">
        <f t="shared" si="128"/>
        <v>-10756.01475</v>
      </c>
      <c r="BC29" s="665">
        <f t="shared" si="128"/>
        <v>-10772.50475</v>
      </c>
      <c r="BD29" s="665">
        <f t="shared" si="128"/>
        <v>-10788.99475</v>
      </c>
      <c r="BE29" s="665">
        <f t="shared" si="128"/>
        <v>-10805.48475</v>
      </c>
      <c r="BF29" s="665">
        <f t="shared" si="128"/>
        <v>-10821.974750000001</v>
      </c>
      <c r="BG29" s="665">
        <f t="shared" ref="BG29:BV29" si="129">IF(BG16&gt;BG8,$C$7*BG8*(-1),BG16*$C$7*(-1))</f>
        <v>-10838.464750000001</v>
      </c>
      <c r="BH29" s="665">
        <f t="shared" si="129"/>
        <v>-10854.954750000001</v>
      </c>
      <c r="BI29" s="665">
        <f t="shared" si="129"/>
        <v>-10871.444750000001</v>
      </c>
      <c r="BJ29" s="665">
        <f t="shared" si="129"/>
        <v>-10887.93475</v>
      </c>
      <c r="BK29" s="665">
        <f t="shared" si="129"/>
        <v>-10904.42475</v>
      </c>
      <c r="BL29" s="665">
        <f t="shared" si="129"/>
        <v>-10920.91475</v>
      </c>
      <c r="BM29" s="665">
        <f t="shared" si="129"/>
        <v>-10937.40475</v>
      </c>
      <c r="BN29" s="665">
        <f t="shared" si="129"/>
        <v>-10953.894750000001</v>
      </c>
      <c r="BO29" s="665">
        <f t="shared" si="129"/>
        <v>-10970.384750000001</v>
      </c>
      <c r="BP29" s="665">
        <f t="shared" si="129"/>
        <v>-10986.874750000001</v>
      </c>
      <c r="BQ29" s="665">
        <f t="shared" si="129"/>
        <v>-11003.364750000001</v>
      </c>
      <c r="BR29" s="665">
        <f t="shared" si="129"/>
        <v>-11019.85475</v>
      </c>
      <c r="BS29" s="665">
        <f t="shared" si="129"/>
        <v>-11036.34475</v>
      </c>
      <c r="BT29" s="665">
        <f t="shared" si="129"/>
        <v>-11037</v>
      </c>
      <c r="BU29" s="665">
        <f t="shared" si="129"/>
        <v>-11037</v>
      </c>
      <c r="BV29" s="665">
        <f t="shared" si="129"/>
        <v>-11037</v>
      </c>
      <c r="BW29" s="665">
        <f t="shared" ref="BW29:CI29" si="130">IF(BW16&gt;BW8,$C$7*BW8*(-1),BW16*$C$7*(-1))</f>
        <v>-11037</v>
      </c>
      <c r="BX29" s="665">
        <f t="shared" si="130"/>
        <v>-11037</v>
      </c>
      <c r="BY29" s="665">
        <f t="shared" si="130"/>
        <v>-11037</v>
      </c>
      <c r="BZ29" s="665">
        <f t="shared" si="130"/>
        <v>-11037</v>
      </c>
      <c r="CA29" s="665">
        <f t="shared" si="130"/>
        <v>-11037</v>
      </c>
      <c r="CB29" s="665">
        <f t="shared" si="130"/>
        <v>-11037</v>
      </c>
      <c r="CC29" s="665">
        <f t="shared" si="130"/>
        <v>-11037</v>
      </c>
      <c r="CD29" s="665">
        <f t="shared" si="130"/>
        <v>-11037</v>
      </c>
      <c r="CE29" s="665">
        <f t="shared" si="130"/>
        <v>-11037</v>
      </c>
      <c r="CF29" s="665">
        <f t="shared" si="130"/>
        <v>-11037</v>
      </c>
      <c r="CG29" s="665">
        <f t="shared" si="130"/>
        <v>-11037</v>
      </c>
      <c r="CH29" s="665">
        <f t="shared" si="130"/>
        <v>-11037</v>
      </c>
      <c r="CI29" s="665">
        <f t="shared" si="130"/>
        <v>-11037</v>
      </c>
    </row>
    <row r="30" spans="1:87" x14ac:dyDescent="0.25">
      <c r="A30" s="674"/>
      <c r="D30" s="675" t="s">
        <v>2483</v>
      </c>
      <c r="E30" s="676">
        <f>K40</f>
        <v>-18178</v>
      </c>
      <c r="J30" s="120" t="s">
        <v>2455</v>
      </c>
      <c r="K30" s="665">
        <f>IF(K17&gt;K9,$C$8*K9*(-1),K17*$C$8*(-1))</f>
        <v>-2785.875</v>
      </c>
      <c r="L30" s="665">
        <f t="shared" ref="L30:Q30" si="131">IF(L17&gt;L9,$C$8*L9*(-1),L17*$C$8*(-1))</f>
        <v>-2793.5250000000001</v>
      </c>
      <c r="M30" s="665">
        <f t="shared" si="131"/>
        <v>-2801.1750000000002</v>
      </c>
      <c r="N30" s="665">
        <f t="shared" si="131"/>
        <v>-2808.8249999999998</v>
      </c>
      <c r="O30" s="665">
        <f t="shared" si="131"/>
        <v>-2816.4749999999999</v>
      </c>
      <c r="P30" s="665">
        <f t="shared" si="131"/>
        <v>-2824.125</v>
      </c>
      <c r="Q30" s="665">
        <f t="shared" si="131"/>
        <v>-2831.7750000000001</v>
      </c>
      <c r="R30" s="665">
        <f t="shared" ref="R30:AP30" si="132">IF(R17&gt;R9,$C$8*R9*(-1),R17*$C$8*(-1))</f>
        <v>-2839.4250000000002</v>
      </c>
      <c r="S30" s="665">
        <f t="shared" si="132"/>
        <v>-2847.0749999999998</v>
      </c>
      <c r="T30" s="665">
        <f t="shared" si="132"/>
        <v>-2854.7250000000004</v>
      </c>
      <c r="U30" s="665">
        <f t="shared" si="132"/>
        <v>-2862.375</v>
      </c>
      <c r="V30" s="665">
        <f t="shared" si="132"/>
        <v>-2870.0250000000001</v>
      </c>
      <c r="W30" s="665">
        <f t="shared" si="132"/>
        <v>-2877.6749999999997</v>
      </c>
      <c r="X30" s="665">
        <f t="shared" si="132"/>
        <v>-2882.7750000000005</v>
      </c>
      <c r="Y30" s="665">
        <f t="shared" si="132"/>
        <v>-2887.875</v>
      </c>
      <c r="Z30" s="665">
        <f t="shared" si="132"/>
        <v>-2892.9750000000004</v>
      </c>
      <c r="AA30" s="665">
        <f t="shared" si="132"/>
        <v>-2898.0749999999998</v>
      </c>
      <c r="AB30" s="665">
        <f t="shared" si="132"/>
        <v>-2903.1750000000002</v>
      </c>
      <c r="AC30" s="665">
        <f t="shared" si="132"/>
        <v>-2908.2749999999996</v>
      </c>
      <c r="AD30" s="665">
        <f t="shared" si="132"/>
        <v>-2913.375</v>
      </c>
      <c r="AE30" s="665">
        <f t="shared" si="132"/>
        <v>-2918.4750000000004</v>
      </c>
      <c r="AF30" s="665">
        <f t="shared" si="132"/>
        <v>-2923.5750000000003</v>
      </c>
      <c r="AG30" s="665">
        <f t="shared" si="132"/>
        <v>-2928.6750000000002</v>
      </c>
      <c r="AH30" s="665">
        <f t="shared" si="132"/>
        <v>-2933.7750000000001</v>
      </c>
      <c r="AI30" s="665">
        <f t="shared" si="132"/>
        <v>-2938.875</v>
      </c>
      <c r="AJ30" s="665">
        <f t="shared" si="132"/>
        <v>-2943.9749999999999</v>
      </c>
      <c r="AK30" s="665">
        <f t="shared" si="132"/>
        <v>-2949.0750000000003</v>
      </c>
      <c r="AL30" s="665">
        <f t="shared" si="132"/>
        <v>-2954.1750000000002</v>
      </c>
      <c r="AM30" s="665">
        <f t="shared" si="132"/>
        <v>-2959.2750000000001</v>
      </c>
      <c r="AN30" s="665">
        <f t="shared" si="132"/>
        <v>-3255.2025000000003</v>
      </c>
      <c r="AO30" s="665">
        <f t="shared" si="132"/>
        <v>-3260.3025000000002</v>
      </c>
      <c r="AP30" s="665">
        <f t="shared" si="132"/>
        <v>-3265.4025000000006</v>
      </c>
      <c r="AQ30" s="665">
        <f t="shared" ref="AQ30:BF30" si="133">IF(AQ17&gt;AQ9,$C$8*AQ9*(-1),AQ17*$C$8*(-1))</f>
        <v>-3270.5025000000005</v>
      </c>
      <c r="AR30" s="665">
        <f t="shared" si="133"/>
        <v>-3275.6025000000004</v>
      </c>
      <c r="AS30" s="665">
        <f t="shared" si="133"/>
        <v>-3280.7025000000003</v>
      </c>
      <c r="AT30" s="665">
        <f t="shared" si="133"/>
        <v>-3285.8025000000002</v>
      </c>
      <c r="AU30" s="665">
        <f t="shared" si="133"/>
        <v>-3290.9025000000001</v>
      </c>
      <c r="AV30" s="665">
        <f t="shared" si="133"/>
        <v>-3296.0025000000005</v>
      </c>
      <c r="AW30" s="665">
        <f t="shared" si="133"/>
        <v>-3301.1025000000009</v>
      </c>
      <c r="AX30" s="665">
        <f t="shared" si="133"/>
        <v>-3306.2025000000003</v>
      </c>
      <c r="AY30" s="665">
        <f t="shared" si="133"/>
        <v>-3311.3025000000007</v>
      </c>
      <c r="AZ30" s="665">
        <f t="shared" si="133"/>
        <v>-3316.4025000000001</v>
      </c>
      <c r="BA30" s="665">
        <f t="shared" si="133"/>
        <v>-3321.5025000000005</v>
      </c>
      <c r="BB30" s="665">
        <f t="shared" si="133"/>
        <v>-3326.6025000000009</v>
      </c>
      <c r="BC30" s="665">
        <f t="shared" si="133"/>
        <v>-3331.7025000000008</v>
      </c>
      <c r="BD30" s="665">
        <f t="shared" si="133"/>
        <v>-3336.8025000000007</v>
      </c>
      <c r="BE30" s="665">
        <f t="shared" si="133"/>
        <v>-3341.9025000000006</v>
      </c>
      <c r="BF30" s="665">
        <f t="shared" si="133"/>
        <v>-3347.0025000000005</v>
      </c>
      <c r="BG30" s="665">
        <f t="shared" ref="BG30:BV30" si="134">IF(BG17&gt;BG9,$C$8*BG9*(-1),BG17*$C$8*(-1))</f>
        <v>-3352.1025000000004</v>
      </c>
      <c r="BH30" s="665">
        <f t="shared" si="134"/>
        <v>-3357.2025000000008</v>
      </c>
      <c r="BI30" s="665">
        <f t="shared" si="134"/>
        <v>-3362.3025000000007</v>
      </c>
      <c r="BJ30" s="665">
        <f t="shared" si="134"/>
        <v>-3367.4025000000006</v>
      </c>
      <c r="BK30" s="665">
        <f t="shared" si="134"/>
        <v>-3372.5025000000005</v>
      </c>
      <c r="BL30" s="665">
        <f t="shared" si="134"/>
        <v>-3377.6025000000004</v>
      </c>
      <c r="BM30" s="665">
        <f t="shared" si="134"/>
        <v>-3382.7025000000003</v>
      </c>
      <c r="BN30" s="665">
        <f t="shared" si="134"/>
        <v>-3387.8025000000007</v>
      </c>
      <c r="BO30" s="665">
        <f t="shared" si="134"/>
        <v>-3392.9025000000006</v>
      </c>
      <c r="BP30" s="665">
        <f t="shared" si="134"/>
        <v>-3398.0025000000005</v>
      </c>
      <c r="BQ30" s="665">
        <f t="shared" si="134"/>
        <v>-3403.1025000000004</v>
      </c>
      <c r="BR30" s="665">
        <f t="shared" si="134"/>
        <v>-3408.2025000000003</v>
      </c>
      <c r="BS30" s="665">
        <f t="shared" si="134"/>
        <v>-3413.3025000000002</v>
      </c>
      <c r="BT30" s="665">
        <f t="shared" si="134"/>
        <v>-3415</v>
      </c>
      <c r="BU30" s="665">
        <f t="shared" si="134"/>
        <v>-3415</v>
      </c>
      <c r="BV30" s="665">
        <f t="shared" si="134"/>
        <v>-3415</v>
      </c>
      <c r="BW30" s="665">
        <f t="shared" ref="BW30:CI30" si="135">IF(BW17&gt;BW9,$C$8*BW9*(-1),BW17*$C$8*(-1))</f>
        <v>-3415</v>
      </c>
      <c r="BX30" s="665">
        <f t="shared" si="135"/>
        <v>-3415</v>
      </c>
      <c r="BY30" s="665">
        <f t="shared" si="135"/>
        <v>-3415</v>
      </c>
      <c r="BZ30" s="665">
        <f t="shared" si="135"/>
        <v>-3415</v>
      </c>
      <c r="CA30" s="665">
        <f t="shared" si="135"/>
        <v>-3415</v>
      </c>
      <c r="CB30" s="665">
        <f t="shared" si="135"/>
        <v>-3415</v>
      </c>
      <c r="CC30" s="665">
        <f t="shared" si="135"/>
        <v>-3415</v>
      </c>
      <c r="CD30" s="665">
        <f t="shared" si="135"/>
        <v>-3415</v>
      </c>
      <c r="CE30" s="665">
        <f t="shared" si="135"/>
        <v>-3415</v>
      </c>
      <c r="CF30" s="665">
        <f t="shared" si="135"/>
        <v>-3415</v>
      </c>
      <c r="CG30" s="665">
        <f t="shared" si="135"/>
        <v>-3415</v>
      </c>
      <c r="CH30" s="665">
        <f t="shared" si="135"/>
        <v>-3415</v>
      </c>
      <c r="CI30" s="665">
        <f t="shared" si="135"/>
        <v>-3415</v>
      </c>
    </row>
    <row r="31" spans="1:87" x14ac:dyDescent="0.25">
      <c r="J31" s="120" t="s">
        <v>2456</v>
      </c>
      <c r="K31" s="665">
        <f>IF(K14&gt;K6,$C$5*(K14-K6)*(-1),0)</f>
        <v>-3525.5499999999993</v>
      </c>
      <c r="L31" s="665">
        <f t="shared" ref="L31:Q31" si="136">IF(L14&gt;L6,$C$5*(L14-L6)*(-1),0)</f>
        <v>-3096.83</v>
      </c>
      <c r="M31" s="665">
        <f t="shared" si="136"/>
        <v>-3058.6100000000006</v>
      </c>
      <c r="N31" s="665">
        <f t="shared" si="136"/>
        <v>-3020.3899999999994</v>
      </c>
      <c r="O31" s="665">
        <f t="shared" si="136"/>
        <v>-2982.17</v>
      </c>
      <c r="P31" s="665">
        <f t="shared" si="136"/>
        <v>-2943.9499999999989</v>
      </c>
      <c r="Q31" s="665">
        <f t="shared" si="136"/>
        <v>-2905.7299999999996</v>
      </c>
      <c r="R31" s="665">
        <f t="shared" ref="R31:AP31" si="137">IF(R14&gt;R6,$C$5*(R14-R6)*(-1),0)</f>
        <v>-2867.51</v>
      </c>
      <c r="S31" s="665">
        <f t="shared" si="137"/>
        <v>-2829.2899999999991</v>
      </c>
      <c r="T31" s="665">
        <f t="shared" si="137"/>
        <v>-2791.0699999999997</v>
      </c>
      <c r="U31" s="665">
        <f t="shared" si="137"/>
        <v>-2752.8500000000004</v>
      </c>
      <c r="V31" s="665">
        <f t="shared" si="137"/>
        <v>-2714.6299999999992</v>
      </c>
      <c r="W31" s="665">
        <f t="shared" si="137"/>
        <v>-2676.41</v>
      </c>
      <c r="X31" s="665">
        <f t="shared" si="137"/>
        <v>-2650.9300000000003</v>
      </c>
      <c r="Y31" s="665">
        <f t="shared" si="137"/>
        <v>-2625.4499999999989</v>
      </c>
      <c r="Z31" s="665">
        <f t="shared" si="137"/>
        <v>-2599.9699999999993</v>
      </c>
      <c r="AA31" s="665">
        <f t="shared" si="137"/>
        <v>-2574.4899999999998</v>
      </c>
      <c r="AB31" s="665">
        <f t="shared" si="137"/>
        <v>-2549.0100000000002</v>
      </c>
      <c r="AC31" s="665">
        <f t="shared" si="137"/>
        <v>-2523.5300000000007</v>
      </c>
      <c r="AD31" s="665">
        <f t="shared" si="137"/>
        <v>-2498.0499999999993</v>
      </c>
      <c r="AE31" s="665">
        <f t="shared" si="137"/>
        <v>-2472.5699999999997</v>
      </c>
      <c r="AF31" s="665">
        <f t="shared" si="137"/>
        <v>-2447.09</v>
      </c>
      <c r="AG31" s="665">
        <f t="shared" si="137"/>
        <v>-2421.6100000000006</v>
      </c>
      <c r="AH31" s="665">
        <f t="shared" si="137"/>
        <v>-2396.1299999999992</v>
      </c>
      <c r="AI31" s="665">
        <f t="shared" si="137"/>
        <v>-2370.6499999999996</v>
      </c>
      <c r="AJ31" s="665">
        <f t="shared" si="137"/>
        <v>-2345.17</v>
      </c>
      <c r="AK31" s="665">
        <f t="shared" si="137"/>
        <v>-2319.6900000000005</v>
      </c>
      <c r="AL31" s="665">
        <f t="shared" si="137"/>
        <v>-2294.2099999999991</v>
      </c>
      <c r="AM31" s="665">
        <f t="shared" si="137"/>
        <v>-2268.7299999999996</v>
      </c>
      <c r="AN31" s="665">
        <f t="shared" si="137"/>
        <v>-790.25299999999697</v>
      </c>
      <c r="AO31" s="665">
        <f t="shared" si="137"/>
        <v>-764.77299999999741</v>
      </c>
      <c r="AP31" s="665">
        <f t="shared" si="137"/>
        <v>-739.29299999999785</v>
      </c>
      <c r="AQ31" s="665">
        <f t="shared" ref="AQ31:BF31" si="138">IF(AQ14&gt;AQ6,$C$5*(AQ14-AQ6)*(-1),0)</f>
        <v>-713.81299999999828</v>
      </c>
      <c r="AR31" s="665">
        <f t="shared" si="138"/>
        <v>-688.3329999999969</v>
      </c>
      <c r="AS31" s="665">
        <f t="shared" si="138"/>
        <v>-662.85299999999916</v>
      </c>
      <c r="AT31" s="665">
        <f t="shared" si="138"/>
        <v>-637.37299999999595</v>
      </c>
      <c r="AU31" s="665">
        <f t="shared" si="138"/>
        <v>-611.89299999999639</v>
      </c>
      <c r="AV31" s="665">
        <f t="shared" si="138"/>
        <v>-586.41299999999683</v>
      </c>
      <c r="AW31" s="665">
        <f t="shared" si="138"/>
        <v>-560.93299999999726</v>
      </c>
      <c r="AX31" s="665">
        <f t="shared" si="138"/>
        <v>-535.4529999999977</v>
      </c>
      <c r="AY31" s="665">
        <f t="shared" si="138"/>
        <v>-509.97299999999814</v>
      </c>
      <c r="AZ31" s="665">
        <f t="shared" si="138"/>
        <v>-484.49299999999857</v>
      </c>
      <c r="BA31" s="665">
        <f t="shared" si="138"/>
        <v>-459.01299999999901</v>
      </c>
      <c r="BB31" s="665">
        <f t="shared" si="138"/>
        <v>-433.53299999999581</v>
      </c>
      <c r="BC31" s="665">
        <f t="shared" si="138"/>
        <v>-408.05299999999625</v>
      </c>
      <c r="BD31" s="665">
        <f t="shared" si="138"/>
        <v>-382.57299999999668</v>
      </c>
      <c r="BE31" s="665">
        <f t="shared" si="138"/>
        <v>-357.09299999999712</v>
      </c>
      <c r="BF31" s="665">
        <f t="shared" si="138"/>
        <v>-331.61299999999756</v>
      </c>
      <c r="BG31" s="665">
        <f t="shared" ref="BG31:BV31" si="139">IF(BG14&gt;BG6,$C$5*(BG14-BG6)*(-1),0)</f>
        <v>-306.13299999999799</v>
      </c>
      <c r="BH31" s="665">
        <f t="shared" si="139"/>
        <v>-280.65299999999843</v>
      </c>
      <c r="BI31" s="665">
        <f t="shared" si="139"/>
        <v>-255.17299999999886</v>
      </c>
      <c r="BJ31" s="665">
        <f t="shared" si="139"/>
        <v>-229.69299999999566</v>
      </c>
      <c r="BK31" s="665">
        <f t="shared" si="139"/>
        <v>-204.2129999999961</v>
      </c>
      <c r="BL31" s="665">
        <f t="shared" si="139"/>
        <v>-178.73299999999654</v>
      </c>
      <c r="BM31" s="665">
        <f t="shared" si="139"/>
        <v>-153.25299999999697</v>
      </c>
      <c r="BN31" s="665">
        <f t="shared" si="139"/>
        <v>-127.77299999999741</v>
      </c>
      <c r="BO31" s="665">
        <f t="shared" si="139"/>
        <v>-102.29299999999785</v>
      </c>
      <c r="BP31" s="665">
        <f t="shared" si="139"/>
        <v>-76.812999999998283</v>
      </c>
      <c r="BQ31" s="665">
        <f t="shared" si="139"/>
        <v>-51.332999999998719</v>
      </c>
      <c r="BR31" s="665">
        <f t="shared" si="139"/>
        <v>-25.852999999999156</v>
      </c>
      <c r="BS31" s="665">
        <f t="shared" si="139"/>
        <v>-0.37299999999595457</v>
      </c>
      <c r="BT31" s="665">
        <f t="shared" si="139"/>
        <v>0</v>
      </c>
      <c r="BU31" s="665">
        <f t="shared" si="139"/>
        <v>0</v>
      </c>
      <c r="BV31" s="665">
        <f t="shared" si="139"/>
        <v>0</v>
      </c>
      <c r="BW31" s="665">
        <f t="shared" ref="BW31:CI31" si="140">IF(BW14&gt;BW6,$C$5*(BW14-BW6)*(-1),0)</f>
        <v>0</v>
      </c>
      <c r="BX31" s="665">
        <f t="shared" si="140"/>
        <v>0</v>
      </c>
      <c r="BY31" s="665">
        <f t="shared" si="140"/>
        <v>0</v>
      </c>
      <c r="BZ31" s="665">
        <f t="shared" si="140"/>
        <v>0</v>
      </c>
      <c r="CA31" s="665">
        <f t="shared" si="140"/>
        <v>0</v>
      </c>
      <c r="CB31" s="665">
        <f t="shared" si="140"/>
        <v>0</v>
      </c>
      <c r="CC31" s="665">
        <f t="shared" si="140"/>
        <v>0</v>
      </c>
      <c r="CD31" s="665">
        <f t="shared" si="140"/>
        <v>0</v>
      </c>
      <c r="CE31" s="665">
        <f t="shared" si="140"/>
        <v>0</v>
      </c>
      <c r="CF31" s="665">
        <f t="shared" si="140"/>
        <v>0</v>
      </c>
      <c r="CG31" s="665">
        <f t="shared" si="140"/>
        <v>0</v>
      </c>
      <c r="CH31" s="665">
        <f t="shared" si="140"/>
        <v>0</v>
      </c>
      <c r="CI31" s="665">
        <f t="shared" si="140"/>
        <v>0</v>
      </c>
    </row>
    <row r="32" spans="1:87" x14ac:dyDescent="0.25">
      <c r="J32" s="120" t="s">
        <v>2457</v>
      </c>
      <c r="K32" s="665">
        <f>IF(K15&gt;K7,$C$6*(K15-K7)*(-1),0)</f>
        <v>-1894.4450000000002</v>
      </c>
      <c r="L32" s="665">
        <f t="shared" ref="L32:Q32" si="141">IF(L15&gt;L7,$C$6*(L15-L7)*(-1),0)</f>
        <v>-1664.607</v>
      </c>
      <c r="M32" s="665">
        <f t="shared" si="141"/>
        <v>-1644.069</v>
      </c>
      <c r="N32" s="665">
        <f t="shared" si="141"/>
        <v>-1623.5309999999999</v>
      </c>
      <c r="O32" s="665">
        <f t="shared" si="141"/>
        <v>-1602.9930000000011</v>
      </c>
      <c r="P32" s="665">
        <f t="shared" si="141"/>
        <v>-1582.4550000000008</v>
      </c>
      <c r="Q32" s="665">
        <f t="shared" si="141"/>
        <v>-1561.9170000000008</v>
      </c>
      <c r="R32" s="665">
        <f t="shared" ref="R32:AP32" si="142">IF(R15&gt;R7,$C$6*(R15-R7)*(-1),0)</f>
        <v>-1541.3790000000008</v>
      </c>
      <c r="S32" s="665">
        <f t="shared" si="142"/>
        <v>-1520.8410000000006</v>
      </c>
      <c r="T32" s="665">
        <f t="shared" si="142"/>
        <v>-1500.3030000000006</v>
      </c>
      <c r="U32" s="665">
        <f t="shared" si="142"/>
        <v>-1479.7650000000003</v>
      </c>
      <c r="V32" s="665">
        <f t="shared" si="142"/>
        <v>-1459.2270000000003</v>
      </c>
      <c r="W32" s="665">
        <f t="shared" si="142"/>
        <v>-1438.6890000000003</v>
      </c>
      <c r="X32" s="665">
        <f t="shared" si="142"/>
        <v>-1424.9970000000005</v>
      </c>
      <c r="Y32" s="665">
        <f t="shared" si="142"/>
        <v>-1411.305000000001</v>
      </c>
      <c r="Z32" s="665">
        <f t="shared" si="142"/>
        <v>-1397.6130000000001</v>
      </c>
      <c r="AA32" s="665">
        <f t="shared" si="142"/>
        <v>-1383.9210000000003</v>
      </c>
      <c r="AB32" s="665">
        <f t="shared" si="142"/>
        <v>-1370.2290000000007</v>
      </c>
      <c r="AC32" s="665">
        <f t="shared" si="142"/>
        <v>-1356.5369999999998</v>
      </c>
      <c r="AD32" s="665">
        <f t="shared" si="142"/>
        <v>-1342.8450000000003</v>
      </c>
      <c r="AE32" s="665">
        <f t="shared" si="142"/>
        <v>-1329.1530000000005</v>
      </c>
      <c r="AF32" s="665">
        <f t="shared" si="142"/>
        <v>-1315.4610000000009</v>
      </c>
      <c r="AG32" s="665">
        <f t="shared" si="142"/>
        <v>-1301.769</v>
      </c>
      <c r="AH32" s="665">
        <f t="shared" si="142"/>
        <v>-1288.0770000000002</v>
      </c>
      <c r="AI32" s="665">
        <f t="shared" si="142"/>
        <v>-1274.3850000000007</v>
      </c>
      <c r="AJ32" s="665">
        <f t="shared" si="142"/>
        <v>-1260.6930000000011</v>
      </c>
      <c r="AK32" s="665">
        <f t="shared" si="142"/>
        <v>-1247.0010000000002</v>
      </c>
      <c r="AL32" s="665">
        <f t="shared" si="142"/>
        <v>-1233.3090000000004</v>
      </c>
      <c r="AM32" s="665">
        <f t="shared" si="142"/>
        <v>-1219.6170000000009</v>
      </c>
      <c r="AN32" s="665">
        <f t="shared" si="142"/>
        <v>-425.13869999999895</v>
      </c>
      <c r="AO32" s="665">
        <f t="shared" si="142"/>
        <v>-411.44669999999928</v>
      </c>
      <c r="AP32" s="665">
        <f t="shared" si="142"/>
        <v>-397.75469999999967</v>
      </c>
      <c r="AQ32" s="665">
        <f t="shared" ref="AQ32:BF32" si="143">IF(AQ15&gt;AQ7,$C$6*(AQ15-AQ7)*(-1),0)</f>
        <v>-384.06269999999876</v>
      </c>
      <c r="AR32" s="665">
        <f t="shared" si="143"/>
        <v>-370.37069999999909</v>
      </c>
      <c r="AS32" s="665">
        <f t="shared" si="143"/>
        <v>-356.67869999999948</v>
      </c>
      <c r="AT32" s="665">
        <f t="shared" si="143"/>
        <v>-342.98669999999981</v>
      </c>
      <c r="AU32" s="665">
        <f t="shared" si="143"/>
        <v>-329.2946999999989</v>
      </c>
      <c r="AV32" s="665">
        <f t="shared" si="143"/>
        <v>-315.60269999999923</v>
      </c>
      <c r="AW32" s="665">
        <f t="shared" si="143"/>
        <v>-301.91069999999962</v>
      </c>
      <c r="AX32" s="665">
        <f t="shared" si="143"/>
        <v>-288.21869999999871</v>
      </c>
      <c r="AY32" s="665">
        <f t="shared" si="143"/>
        <v>-274.52669999999904</v>
      </c>
      <c r="AZ32" s="665">
        <f t="shared" si="143"/>
        <v>-260.83469999999943</v>
      </c>
      <c r="BA32" s="665">
        <f t="shared" si="143"/>
        <v>-247.14269999999976</v>
      </c>
      <c r="BB32" s="665">
        <f t="shared" si="143"/>
        <v>-233.45069999999885</v>
      </c>
      <c r="BC32" s="665">
        <f t="shared" si="143"/>
        <v>-219.75869999999921</v>
      </c>
      <c r="BD32" s="665">
        <f t="shared" si="143"/>
        <v>-206.06669999999957</v>
      </c>
      <c r="BE32" s="665">
        <f t="shared" si="143"/>
        <v>-192.37469999999993</v>
      </c>
      <c r="BF32" s="665">
        <f t="shared" si="143"/>
        <v>-178.68269999999902</v>
      </c>
      <c r="BG32" s="665">
        <f t="shared" ref="BG32:BV32" si="144">IF(BG15&gt;BG7,$C$6*(BG15-BG7)*(-1),0)</f>
        <v>-164.99069999999938</v>
      </c>
      <c r="BH32" s="665">
        <f t="shared" si="144"/>
        <v>-151.29869999999971</v>
      </c>
      <c r="BI32" s="665">
        <f t="shared" si="144"/>
        <v>-137.6066999999988</v>
      </c>
      <c r="BJ32" s="665">
        <f t="shared" si="144"/>
        <v>-123.91469999999917</v>
      </c>
      <c r="BK32" s="665">
        <f t="shared" si="144"/>
        <v>-110.22269999999952</v>
      </c>
      <c r="BL32" s="665">
        <f t="shared" si="144"/>
        <v>-96.530699999999882</v>
      </c>
      <c r="BM32" s="665">
        <f t="shared" si="144"/>
        <v>-82.838699999998965</v>
      </c>
      <c r="BN32" s="665">
        <f t="shared" si="144"/>
        <v>-69.146699999999328</v>
      </c>
      <c r="BO32" s="665">
        <f t="shared" si="144"/>
        <v>-55.454699999999683</v>
      </c>
      <c r="BP32" s="665">
        <f t="shared" si="144"/>
        <v>-41.762699999998766</v>
      </c>
      <c r="BQ32" s="665">
        <f t="shared" si="144"/>
        <v>-28.070699999999121</v>
      </c>
      <c r="BR32" s="665">
        <f t="shared" si="144"/>
        <v>-14.37869999999948</v>
      </c>
      <c r="BS32" s="665">
        <f t="shared" si="144"/>
        <v>-0.686699999999837</v>
      </c>
      <c r="BT32" s="665">
        <f t="shared" si="144"/>
        <v>0</v>
      </c>
      <c r="BU32" s="665">
        <f t="shared" si="144"/>
        <v>0</v>
      </c>
      <c r="BV32" s="665">
        <f t="shared" si="144"/>
        <v>0</v>
      </c>
      <c r="BW32" s="665">
        <f t="shared" ref="BW32:CI32" si="145">IF(BW15&gt;BW7,$C$6*(BW15-BW7)*(-1),0)</f>
        <v>0</v>
      </c>
      <c r="BX32" s="665">
        <f t="shared" si="145"/>
        <v>0</v>
      </c>
      <c r="BY32" s="665">
        <f t="shared" si="145"/>
        <v>0</v>
      </c>
      <c r="BZ32" s="665">
        <f t="shared" si="145"/>
        <v>0</v>
      </c>
      <c r="CA32" s="665">
        <f t="shared" si="145"/>
        <v>0</v>
      </c>
      <c r="CB32" s="665">
        <f t="shared" si="145"/>
        <v>0</v>
      </c>
      <c r="CC32" s="665">
        <f t="shared" si="145"/>
        <v>0</v>
      </c>
      <c r="CD32" s="665">
        <f t="shared" si="145"/>
        <v>0</v>
      </c>
      <c r="CE32" s="665">
        <f t="shared" si="145"/>
        <v>0</v>
      </c>
      <c r="CF32" s="665">
        <f t="shared" si="145"/>
        <v>0</v>
      </c>
      <c r="CG32" s="665">
        <f t="shared" si="145"/>
        <v>0</v>
      </c>
      <c r="CH32" s="665">
        <f t="shared" si="145"/>
        <v>0</v>
      </c>
      <c r="CI32" s="665">
        <f t="shared" si="145"/>
        <v>0</v>
      </c>
    </row>
    <row r="33" spans="1:87" x14ac:dyDescent="0.25">
      <c r="J33" s="120" t="s">
        <v>2458</v>
      </c>
      <c r="K33" s="665">
        <f>IF(K16&gt;K8,$C$7*(K16-K8)*(-1),0)</f>
        <v>-2281.3375000000015</v>
      </c>
      <c r="L33" s="665">
        <f t="shared" ref="L33:Q33" si="146">IF(L16&gt;L8,$C$7*(L16-L8)*(-1),0)</f>
        <v>-2004.6025000000009</v>
      </c>
      <c r="M33" s="665">
        <f t="shared" si="146"/>
        <v>-1979.8675000000003</v>
      </c>
      <c r="N33" s="665">
        <f t="shared" si="146"/>
        <v>-1955.1325000000015</v>
      </c>
      <c r="O33" s="665">
        <f t="shared" si="146"/>
        <v>-1930.3975000000009</v>
      </c>
      <c r="P33" s="665">
        <f t="shared" si="146"/>
        <v>-1905.6625000000004</v>
      </c>
      <c r="Q33" s="665">
        <f t="shared" si="146"/>
        <v>-1880.9275000000016</v>
      </c>
      <c r="R33" s="665">
        <f t="shared" ref="R33:AP33" si="147">IF(R16&gt;R8,$C$7*(R16-R8)*(-1),0)</f>
        <v>-1856.192500000001</v>
      </c>
      <c r="S33" s="665">
        <f t="shared" si="147"/>
        <v>-1831.4575000000004</v>
      </c>
      <c r="T33" s="665">
        <f t="shared" si="147"/>
        <v>-1806.7225000000017</v>
      </c>
      <c r="U33" s="665">
        <f t="shared" si="147"/>
        <v>-1781.9875000000011</v>
      </c>
      <c r="V33" s="665">
        <f t="shared" si="147"/>
        <v>-1757.2525000000005</v>
      </c>
      <c r="W33" s="665">
        <f t="shared" si="147"/>
        <v>-1732.5175000000017</v>
      </c>
      <c r="X33" s="665">
        <f t="shared" si="147"/>
        <v>-1716.0275000000001</v>
      </c>
      <c r="Y33" s="665">
        <f t="shared" si="147"/>
        <v>-1699.5375000000004</v>
      </c>
      <c r="Z33" s="665">
        <f t="shared" si="147"/>
        <v>-1683.0475000000006</v>
      </c>
      <c r="AA33" s="665">
        <f t="shared" si="147"/>
        <v>-1666.5575000000008</v>
      </c>
      <c r="AB33" s="665">
        <f t="shared" si="147"/>
        <v>-1650.067500000001</v>
      </c>
      <c r="AC33" s="665">
        <f t="shared" si="147"/>
        <v>-1633.5775000000012</v>
      </c>
      <c r="AD33" s="665">
        <f t="shared" si="147"/>
        <v>-1617.0875000000015</v>
      </c>
      <c r="AE33" s="665">
        <f t="shared" si="147"/>
        <v>-1600.5975000000017</v>
      </c>
      <c r="AF33" s="665">
        <f t="shared" si="147"/>
        <v>-1584.1075000000001</v>
      </c>
      <c r="AG33" s="665">
        <f t="shared" si="147"/>
        <v>-1567.6175000000003</v>
      </c>
      <c r="AH33" s="665">
        <f t="shared" si="147"/>
        <v>-1551.1275000000005</v>
      </c>
      <c r="AI33" s="665">
        <f t="shared" si="147"/>
        <v>-1534.6375000000007</v>
      </c>
      <c r="AJ33" s="665">
        <f t="shared" si="147"/>
        <v>-1518.1475000000009</v>
      </c>
      <c r="AK33" s="665">
        <f t="shared" si="147"/>
        <v>-1501.6575000000012</v>
      </c>
      <c r="AL33" s="665">
        <f t="shared" si="147"/>
        <v>-1485.1675000000014</v>
      </c>
      <c r="AM33" s="665">
        <f t="shared" si="147"/>
        <v>-1468.6775000000016</v>
      </c>
      <c r="AN33" s="665">
        <f t="shared" si="147"/>
        <v>-511.84525000000031</v>
      </c>
      <c r="AO33" s="665">
        <f t="shared" si="147"/>
        <v>-495.3552499999987</v>
      </c>
      <c r="AP33" s="665">
        <f t="shared" si="147"/>
        <v>-478.86524999999892</v>
      </c>
      <c r="AQ33" s="665">
        <f t="shared" ref="AQ33:BF33" si="148">IF(AQ16&gt;AQ8,$C$7*(AQ16-AQ8)*(-1),0)</f>
        <v>-462.37524999999914</v>
      </c>
      <c r="AR33" s="665">
        <f t="shared" si="148"/>
        <v>-445.88524999999936</v>
      </c>
      <c r="AS33" s="665">
        <f t="shared" si="148"/>
        <v>-429.39524999999958</v>
      </c>
      <c r="AT33" s="665">
        <f t="shared" si="148"/>
        <v>-412.9052499999998</v>
      </c>
      <c r="AU33" s="665">
        <f t="shared" si="148"/>
        <v>-396.41525000000001</v>
      </c>
      <c r="AV33" s="665">
        <f t="shared" si="148"/>
        <v>-379.92525000000023</v>
      </c>
      <c r="AW33" s="665">
        <f t="shared" si="148"/>
        <v>-363.43524999999863</v>
      </c>
      <c r="AX33" s="665">
        <f t="shared" si="148"/>
        <v>-346.94524999999885</v>
      </c>
      <c r="AY33" s="665">
        <f t="shared" si="148"/>
        <v>-330.45524999999907</v>
      </c>
      <c r="AZ33" s="665">
        <f t="shared" si="148"/>
        <v>-313.96524999999929</v>
      </c>
      <c r="BA33" s="665">
        <f t="shared" si="148"/>
        <v>-297.47524999999951</v>
      </c>
      <c r="BB33" s="665">
        <f t="shared" si="148"/>
        <v>-280.98524999999972</v>
      </c>
      <c r="BC33" s="665">
        <f t="shared" si="148"/>
        <v>-264.49524999999994</v>
      </c>
      <c r="BD33" s="665">
        <f t="shared" si="148"/>
        <v>-248.00525000000016</v>
      </c>
      <c r="BE33" s="665">
        <f t="shared" si="148"/>
        <v>-231.51525000000038</v>
      </c>
      <c r="BF33" s="665">
        <f t="shared" si="148"/>
        <v>-215.02524999999878</v>
      </c>
      <c r="BG33" s="665">
        <f t="shared" ref="BG33:BV33" si="149">IF(BG16&gt;BG8,$C$7*(BG16-BG8)*(-1),0)</f>
        <v>-198.535249999999</v>
      </c>
      <c r="BH33" s="665">
        <f t="shared" si="149"/>
        <v>-182.04524999999921</v>
      </c>
      <c r="BI33" s="665">
        <f t="shared" si="149"/>
        <v>-165.55524999999943</v>
      </c>
      <c r="BJ33" s="665">
        <f t="shared" si="149"/>
        <v>-149.06524999999965</v>
      </c>
      <c r="BK33" s="665">
        <f t="shared" si="149"/>
        <v>-132.57524999999987</v>
      </c>
      <c r="BL33" s="665">
        <f t="shared" si="149"/>
        <v>-116.08525000000009</v>
      </c>
      <c r="BM33" s="665">
        <f t="shared" si="149"/>
        <v>-99.595250000000306</v>
      </c>
      <c r="BN33" s="665">
        <f t="shared" si="149"/>
        <v>-83.105249999998705</v>
      </c>
      <c r="BO33" s="665">
        <f t="shared" si="149"/>
        <v>-66.615249999998923</v>
      </c>
      <c r="BP33" s="665">
        <f t="shared" si="149"/>
        <v>-50.125249999999141</v>
      </c>
      <c r="BQ33" s="665">
        <f t="shared" si="149"/>
        <v>-33.63524999999936</v>
      </c>
      <c r="BR33" s="665">
        <f t="shared" si="149"/>
        <v>-17.145249999999578</v>
      </c>
      <c r="BS33" s="665">
        <f t="shared" si="149"/>
        <v>-0.65524999999979627</v>
      </c>
      <c r="BT33" s="665">
        <f t="shared" si="149"/>
        <v>0</v>
      </c>
      <c r="BU33" s="665">
        <f t="shared" si="149"/>
        <v>0</v>
      </c>
      <c r="BV33" s="665">
        <f t="shared" si="149"/>
        <v>0</v>
      </c>
      <c r="BW33" s="665">
        <f t="shared" ref="BW33:CI33" si="150">IF(BW16&gt;BW8,$C$7*(BW16-BW8)*(-1),0)</f>
        <v>0</v>
      </c>
      <c r="BX33" s="665">
        <f t="shared" si="150"/>
        <v>0</v>
      </c>
      <c r="BY33" s="665">
        <f t="shared" si="150"/>
        <v>0</v>
      </c>
      <c r="BZ33" s="665">
        <f t="shared" si="150"/>
        <v>0</v>
      </c>
      <c r="CA33" s="665">
        <f t="shared" si="150"/>
        <v>0</v>
      </c>
      <c r="CB33" s="665">
        <f t="shared" si="150"/>
        <v>0</v>
      </c>
      <c r="CC33" s="665">
        <f t="shared" si="150"/>
        <v>0</v>
      </c>
      <c r="CD33" s="665">
        <f t="shared" si="150"/>
        <v>0</v>
      </c>
      <c r="CE33" s="665">
        <f t="shared" si="150"/>
        <v>0</v>
      </c>
      <c r="CF33" s="665">
        <f t="shared" si="150"/>
        <v>0</v>
      </c>
      <c r="CG33" s="665">
        <f t="shared" si="150"/>
        <v>0</v>
      </c>
      <c r="CH33" s="665">
        <f t="shared" si="150"/>
        <v>0</v>
      </c>
      <c r="CI33" s="665">
        <f t="shared" si="150"/>
        <v>0</v>
      </c>
    </row>
    <row r="34" spans="1:87" x14ac:dyDescent="0.25">
      <c r="A34" s="122"/>
      <c r="B34" s="122" t="s">
        <v>2489</v>
      </c>
      <c r="C34" s="122" t="s">
        <v>2486</v>
      </c>
      <c r="D34" s="122" t="s">
        <v>2487</v>
      </c>
      <c r="E34" s="122" t="s">
        <v>2488</v>
      </c>
      <c r="F34" s="122" t="s">
        <v>817</v>
      </c>
      <c r="J34" s="120" t="s">
        <v>2459</v>
      </c>
      <c r="K34" s="665">
        <f>IF(K17&gt;K9,$C$8*(K17-K9)*(-1),0)</f>
        <v>-706.62500000000023</v>
      </c>
      <c r="L34" s="665">
        <f t="shared" ref="L34:Q34" si="151">IF(L17&gt;L9,$C$8*(L17-L9)*(-1),0)</f>
        <v>-621.4749999999998</v>
      </c>
      <c r="M34" s="665">
        <f t="shared" si="151"/>
        <v>-613.82499999999993</v>
      </c>
      <c r="N34" s="665">
        <f t="shared" si="151"/>
        <v>-606.17500000000007</v>
      </c>
      <c r="O34" s="665">
        <f t="shared" si="151"/>
        <v>-598.5250000000002</v>
      </c>
      <c r="P34" s="665">
        <f t="shared" si="151"/>
        <v>-590.87499999999977</v>
      </c>
      <c r="Q34" s="665">
        <f t="shared" si="151"/>
        <v>-583.22499999999991</v>
      </c>
      <c r="R34" s="665">
        <f t="shared" ref="R34:AP34" si="152">IF(R17&gt;R9,$C$8*(R17-R9)*(-1),0)</f>
        <v>-575.57500000000005</v>
      </c>
      <c r="S34" s="665">
        <f t="shared" si="152"/>
        <v>-567.92500000000018</v>
      </c>
      <c r="T34" s="665">
        <f t="shared" si="152"/>
        <v>-560.27499999999975</v>
      </c>
      <c r="U34" s="665">
        <f t="shared" si="152"/>
        <v>-552.62499999999989</v>
      </c>
      <c r="V34" s="665">
        <f t="shared" si="152"/>
        <v>-544.97500000000002</v>
      </c>
      <c r="W34" s="665">
        <f t="shared" si="152"/>
        <v>-537.32500000000016</v>
      </c>
      <c r="X34" s="665">
        <f t="shared" si="152"/>
        <v>-532.22499999999968</v>
      </c>
      <c r="Y34" s="665">
        <f t="shared" si="152"/>
        <v>-527.12499999999977</v>
      </c>
      <c r="Z34" s="665">
        <f t="shared" si="152"/>
        <v>-522.02499999999986</v>
      </c>
      <c r="AA34" s="665">
        <f t="shared" si="152"/>
        <v>-516.92499999999995</v>
      </c>
      <c r="AB34" s="665">
        <f t="shared" si="152"/>
        <v>-511.82500000000005</v>
      </c>
      <c r="AC34" s="665">
        <f t="shared" si="152"/>
        <v>-506.72500000000014</v>
      </c>
      <c r="AD34" s="665">
        <f t="shared" si="152"/>
        <v>-501.62500000000023</v>
      </c>
      <c r="AE34" s="665">
        <f t="shared" si="152"/>
        <v>-496.52499999999975</v>
      </c>
      <c r="AF34" s="665">
        <f t="shared" si="152"/>
        <v>-491.42499999999984</v>
      </c>
      <c r="AG34" s="665">
        <f t="shared" si="152"/>
        <v>-486.32499999999993</v>
      </c>
      <c r="AH34" s="665">
        <f t="shared" si="152"/>
        <v>-481.22500000000002</v>
      </c>
      <c r="AI34" s="665">
        <f t="shared" si="152"/>
        <v>-476.12500000000011</v>
      </c>
      <c r="AJ34" s="665">
        <f t="shared" si="152"/>
        <v>-471.0250000000002</v>
      </c>
      <c r="AK34" s="665">
        <f t="shared" si="152"/>
        <v>-465.92499999999973</v>
      </c>
      <c r="AL34" s="665">
        <f t="shared" si="152"/>
        <v>-460.82499999999982</v>
      </c>
      <c r="AM34" s="665">
        <f t="shared" si="152"/>
        <v>-455.72499999999991</v>
      </c>
      <c r="AN34" s="665">
        <f t="shared" si="152"/>
        <v>-159.79749999999967</v>
      </c>
      <c r="AO34" s="665">
        <f t="shared" si="152"/>
        <v>-154.69749999999976</v>
      </c>
      <c r="AP34" s="665">
        <f t="shared" si="152"/>
        <v>-149.59749999999929</v>
      </c>
      <c r="AQ34" s="665">
        <f t="shared" ref="AQ34:BF34" si="153">IF(AQ17&gt;AQ9,$C$8*(AQ17-AQ9)*(-1),0)</f>
        <v>-144.49749999999938</v>
      </c>
      <c r="AR34" s="665">
        <f t="shared" si="153"/>
        <v>-139.39749999999947</v>
      </c>
      <c r="AS34" s="665">
        <f t="shared" si="153"/>
        <v>-134.29749999999956</v>
      </c>
      <c r="AT34" s="665">
        <f t="shared" si="153"/>
        <v>-129.19749999999965</v>
      </c>
      <c r="AU34" s="665">
        <f t="shared" si="153"/>
        <v>-124.09749999999974</v>
      </c>
      <c r="AV34" s="665">
        <f t="shared" si="153"/>
        <v>-118.99749999999926</v>
      </c>
      <c r="AW34" s="665">
        <f t="shared" si="153"/>
        <v>-113.89749999999935</v>
      </c>
      <c r="AX34" s="665">
        <f t="shared" si="153"/>
        <v>-108.79749999999945</v>
      </c>
      <c r="AY34" s="665">
        <f t="shared" si="153"/>
        <v>-103.69749999999954</v>
      </c>
      <c r="AZ34" s="665">
        <f t="shared" si="153"/>
        <v>-98.597499999999627</v>
      </c>
      <c r="BA34" s="665">
        <f t="shared" si="153"/>
        <v>-93.497499999999718</v>
      </c>
      <c r="BB34" s="665">
        <f t="shared" si="153"/>
        <v>-88.397499999999241</v>
      </c>
      <c r="BC34" s="665">
        <f t="shared" si="153"/>
        <v>-83.297499999999332</v>
      </c>
      <c r="BD34" s="665">
        <f t="shared" si="153"/>
        <v>-78.197499999999422</v>
      </c>
      <c r="BE34" s="665">
        <f t="shared" si="153"/>
        <v>-73.097499999999513</v>
      </c>
      <c r="BF34" s="665">
        <f t="shared" si="153"/>
        <v>-67.997499999999604</v>
      </c>
      <c r="BG34" s="665">
        <f t="shared" ref="BG34:BV34" si="154">IF(BG17&gt;BG9,$C$8*(BG17-BG9)*(-1),0)</f>
        <v>-62.897499999999695</v>
      </c>
      <c r="BH34" s="665">
        <f t="shared" si="154"/>
        <v>-57.797499999999218</v>
      </c>
      <c r="BI34" s="665">
        <f t="shared" si="154"/>
        <v>-52.697499999999309</v>
      </c>
      <c r="BJ34" s="665">
        <f t="shared" si="154"/>
        <v>-47.5974999999994</v>
      </c>
      <c r="BK34" s="665">
        <f t="shared" si="154"/>
        <v>-42.497499999999491</v>
      </c>
      <c r="BL34" s="665">
        <f t="shared" si="154"/>
        <v>-37.397499999999582</v>
      </c>
      <c r="BM34" s="665">
        <f t="shared" si="154"/>
        <v>-32.297499999999673</v>
      </c>
      <c r="BN34" s="665">
        <f t="shared" si="154"/>
        <v>-27.197499999999195</v>
      </c>
      <c r="BO34" s="665">
        <f t="shared" si="154"/>
        <v>-22.097499999999286</v>
      </c>
      <c r="BP34" s="665">
        <f t="shared" si="154"/>
        <v>-16.997499999999377</v>
      </c>
      <c r="BQ34" s="665">
        <f t="shared" si="154"/>
        <v>-11.897499999999468</v>
      </c>
      <c r="BR34" s="665">
        <f t="shared" si="154"/>
        <v>-6.7974999999995589</v>
      </c>
      <c r="BS34" s="665">
        <f t="shared" si="154"/>
        <v>-1.6974999999996498</v>
      </c>
      <c r="BT34" s="665">
        <f t="shared" si="154"/>
        <v>0</v>
      </c>
      <c r="BU34" s="665">
        <f t="shared" si="154"/>
        <v>0</v>
      </c>
      <c r="BV34" s="665">
        <f t="shared" si="154"/>
        <v>0</v>
      </c>
      <c r="BW34" s="665">
        <f t="shared" ref="BW34:CI34" si="155">IF(BW17&gt;BW9,$C$8*(BW17-BW9)*(-1),0)</f>
        <v>0</v>
      </c>
      <c r="BX34" s="665">
        <f t="shared" si="155"/>
        <v>0</v>
      </c>
      <c r="BY34" s="665">
        <f t="shared" si="155"/>
        <v>0</v>
      </c>
      <c r="BZ34" s="665">
        <f t="shared" si="155"/>
        <v>0</v>
      </c>
      <c r="CA34" s="665">
        <f t="shared" si="155"/>
        <v>0</v>
      </c>
      <c r="CB34" s="665">
        <f t="shared" si="155"/>
        <v>0</v>
      </c>
      <c r="CC34" s="665">
        <f t="shared" si="155"/>
        <v>0</v>
      </c>
      <c r="CD34" s="665">
        <f t="shared" si="155"/>
        <v>0</v>
      </c>
      <c r="CE34" s="665">
        <f t="shared" si="155"/>
        <v>0</v>
      </c>
      <c r="CF34" s="665">
        <f t="shared" si="155"/>
        <v>0</v>
      </c>
      <c r="CG34" s="665">
        <f t="shared" si="155"/>
        <v>0</v>
      </c>
      <c r="CH34" s="665">
        <f t="shared" si="155"/>
        <v>0</v>
      </c>
      <c r="CI34" s="665">
        <f t="shared" si="155"/>
        <v>0</v>
      </c>
    </row>
    <row r="35" spans="1:87" x14ac:dyDescent="0.25">
      <c r="A35" s="687" t="s">
        <v>32</v>
      </c>
      <c r="B35" s="689">
        <v>102</v>
      </c>
      <c r="C35" s="505">
        <f>F5</f>
        <v>6</v>
      </c>
      <c r="D35" s="505">
        <f>C5*B35</f>
        <v>51</v>
      </c>
      <c r="E35" s="505">
        <f>D5</f>
        <v>45</v>
      </c>
      <c r="F35" s="505">
        <f>D35-C35-E35</f>
        <v>0</v>
      </c>
      <c r="J35" s="124" t="s">
        <v>2482</v>
      </c>
      <c r="K35" s="685">
        <v>-10000</v>
      </c>
      <c r="L35" s="678">
        <v>0</v>
      </c>
      <c r="M35" s="672">
        <v>0</v>
      </c>
      <c r="N35" s="672">
        <v>0</v>
      </c>
      <c r="O35" s="672">
        <v>0</v>
      </c>
      <c r="P35" s="672">
        <v>0</v>
      </c>
      <c r="Q35" s="672">
        <v>0</v>
      </c>
      <c r="R35" s="672">
        <v>0</v>
      </c>
      <c r="S35" s="672">
        <v>0</v>
      </c>
      <c r="T35" s="672">
        <v>0</v>
      </c>
      <c r="U35" s="672">
        <v>0</v>
      </c>
      <c r="V35" s="672">
        <v>0</v>
      </c>
      <c r="W35" s="672">
        <v>0</v>
      </c>
      <c r="X35" s="672">
        <v>0</v>
      </c>
      <c r="Y35" s="672">
        <v>0</v>
      </c>
      <c r="Z35" s="672">
        <v>0</v>
      </c>
      <c r="AA35" s="672">
        <v>0</v>
      </c>
      <c r="AB35" s="672">
        <v>0</v>
      </c>
      <c r="AC35" s="672">
        <v>0</v>
      </c>
      <c r="AD35" s="672">
        <v>0</v>
      </c>
      <c r="AE35" s="672">
        <v>0</v>
      </c>
      <c r="AF35" s="672">
        <v>0</v>
      </c>
      <c r="AG35" s="672">
        <v>0</v>
      </c>
      <c r="AH35" s="672">
        <v>0</v>
      </c>
      <c r="AI35" s="672">
        <v>0</v>
      </c>
      <c r="AJ35" s="672">
        <v>0</v>
      </c>
      <c r="AK35" s="672">
        <v>0</v>
      </c>
      <c r="AL35" s="672">
        <v>0</v>
      </c>
      <c r="AM35" s="672">
        <v>0</v>
      </c>
      <c r="AN35" s="672">
        <v>0</v>
      </c>
      <c r="AO35" s="672">
        <v>0</v>
      </c>
      <c r="AP35" s="672">
        <v>0</v>
      </c>
      <c r="AQ35" s="672">
        <v>0</v>
      </c>
      <c r="AR35" s="672">
        <v>0</v>
      </c>
      <c r="AS35" s="672">
        <v>0</v>
      </c>
      <c r="AT35" s="672">
        <v>0</v>
      </c>
      <c r="AU35" s="672">
        <v>0</v>
      </c>
      <c r="AV35" s="672">
        <v>0</v>
      </c>
      <c r="AW35" s="672">
        <v>0</v>
      </c>
      <c r="AX35" s="672">
        <v>0</v>
      </c>
      <c r="AY35" s="672">
        <v>0</v>
      </c>
      <c r="AZ35" s="672">
        <v>0</v>
      </c>
      <c r="BA35" s="672">
        <v>0</v>
      </c>
      <c r="BB35" s="672">
        <v>0</v>
      </c>
      <c r="BC35" s="672">
        <v>0</v>
      </c>
      <c r="BD35" s="672">
        <v>0</v>
      </c>
      <c r="BE35" s="672">
        <v>0</v>
      </c>
      <c r="BF35" s="672">
        <v>0</v>
      </c>
      <c r="BG35" s="672">
        <v>0</v>
      </c>
      <c r="BH35" s="672">
        <v>0</v>
      </c>
      <c r="BI35" s="672">
        <v>0</v>
      </c>
      <c r="BJ35" s="672">
        <v>0</v>
      </c>
      <c r="BK35" s="672">
        <v>0</v>
      </c>
      <c r="BL35" s="672">
        <v>0</v>
      </c>
      <c r="BM35" s="672">
        <v>0</v>
      </c>
      <c r="BN35" s="672">
        <v>0</v>
      </c>
      <c r="BO35" s="672">
        <v>0</v>
      </c>
      <c r="BP35" s="672">
        <v>0</v>
      </c>
      <c r="BQ35" s="672">
        <v>0</v>
      </c>
      <c r="BR35" s="672">
        <v>0</v>
      </c>
      <c r="BS35" s="672">
        <v>0</v>
      </c>
      <c r="BT35" s="672">
        <v>0</v>
      </c>
      <c r="BU35" s="672">
        <v>0</v>
      </c>
      <c r="BV35" s="672">
        <v>0</v>
      </c>
      <c r="BW35" s="672">
        <v>0</v>
      </c>
      <c r="BX35" s="672">
        <v>0</v>
      </c>
      <c r="BY35" s="672">
        <v>0</v>
      </c>
      <c r="BZ35" s="672">
        <v>0</v>
      </c>
      <c r="CA35" s="672">
        <v>0</v>
      </c>
      <c r="CB35" s="672">
        <v>0</v>
      </c>
      <c r="CC35" s="672">
        <v>0</v>
      </c>
      <c r="CD35" s="672">
        <v>0</v>
      </c>
      <c r="CE35" s="672">
        <v>0</v>
      </c>
      <c r="CF35" s="672">
        <v>0</v>
      </c>
      <c r="CG35" s="672">
        <v>0</v>
      </c>
      <c r="CH35" s="672">
        <v>0</v>
      </c>
      <c r="CI35" s="672">
        <v>0</v>
      </c>
    </row>
    <row r="36" spans="1:87" x14ac:dyDescent="0.25">
      <c r="A36" s="687" t="s">
        <v>33</v>
      </c>
      <c r="B36" s="691">
        <f>(75+6)/C6</f>
        <v>115.71428571428572</v>
      </c>
      <c r="C36" s="505">
        <f t="shared" ref="C36:C38" si="156">F6</f>
        <v>6</v>
      </c>
      <c r="D36" s="505">
        <f t="shared" ref="D36:D38" si="157">C6*B36</f>
        <v>81</v>
      </c>
      <c r="E36" s="505">
        <f t="shared" ref="E36:E38" si="158">D6</f>
        <v>75</v>
      </c>
      <c r="F36" s="505">
        <f t="shared" ref="F36:F38" si="159">D36-C36-E36</f>
        <v>0</v>
      </c>
      <c r="J36" s="124" t="s">
        <v>2477</v>
      </c>
      <c r="K36" s="672">
        <f>IF(C25&gt;0,C25*D5*(-1),C25*F5)</f>
        <v>-4686</v>
      </c>
      <c r="L36" s="672">
        <v>0</v>
      </c>
      <c r="M36" s="672">
        <v>0</v>
      </c>
      <c r="N36" s="672">
        <v>0</v>
      </c>
      <c r="O36" s="672">
        <v>0</v>
      </c>
      <c r="P36" s="672">
        <v>0</v>
      </c>
      <c r="Q36" s="672">
        <v>0</v>
      </c>
      <c r="R36" s="672">
        <v>0</v>
      </c>
      <c r="S36" s="672">
        <v>0</v>
      </c>
      <c r="T36" s="672">
        <v>0</v>
      </c>
      <c r="U36" s="672">
        <v>0</v>
      </c>
      <c r="V36" s="672">
        <v>0</v>
      </c>
      <c r="W36" s="672">
        <v>0</v>
      </c>
      <c r="X36" s="672">
        <v>0</v>
      </c>
      <c r="Y36" s="672">
        <v>0</v>
      </c>
      <c r="Z36" s="672">
        <v>0</v>
      </c>
      <c r="AA36" s="672">
        <v>0</v>
      </c>
      <c r="AB36" s="672">
        <v>0</v>
      </c>
      <c r="AC36" s="672">
        <v>0</v>
      </c>
      <c r="AD36" s="672">
        <v>0</v>
      </c>
      <c r="AE36" s="672">
        <v>0</v>
      </c>
      <c r="AF36" s="672">
        <v>0</v>
      </c>
      <c r="AG36" s="672">
        <v>0</v>
      </c>
      <c r="AH36" s="672">
        <v>0</v>
      </c>
      <c r="AI36" s="672">
        <v>0</v>
      </c>
      <c r="AJ36" s="672">
        <v>0</v>
      </c>
      <c r="AK36" s="672">
        <v>0</v>
      </c>
      <c r="AL36" s="672">
        <v>0</v>
      </c>
      <c r="AM36" s="672">
        <v>0</v>
      </c>
      <c r="AN36" s="672">
        <v>0</v>
      </c>
      <c r="AO36" s="672">
        <v>0</v>
      </c>
      <c r="AP36" s="672">
        <v>0</v>
      </c>
      <c r="AQ36" s="672">
        <v>0</v>
      </c>
      <c r="AR36" s="672">
        <v>0</v>
      </c>
      <c r="AS36" s="672">
        <v>0</v>
      </c>
      <c r="AT36" s="672">
        <v>0</v>
      </c>
      <c r="AU36" s="672">
        <v>0</v>
      </c>
      <c r="AV36" s="672">
        <v>0</v>
      </c>
      <c r="AW36" s="672">
        <v>0</v>
      </c>
      <c r="AX36" s="672">
        <v>0</v>
      </c>
      <c r="AY36" s="672">
        <v>0</v>
      </c>
      <c r="AZ36" s="672">
        <v>0</v>
      </c>
      <c r="BA36" s="672">
        <v>0</v>
      </c>
      <c r="BB36" s="672">
        <v>0</v>
      </c>
      <c r="BC36" s="672">
        <v>0</v>
      </c>
      <c r="BD36" s="672">
        <v>0</v>
      </c>
      <c r="BE36" s="672">
        <v>0</v>
      </c>
      <c r="BF36" s="672">
        <v>0</v>
      </c>
      <c r="BG36" s="672">
        <v>0</v>
      </c>
      <c r="BH36" s="672">
        <v>0</v>
      </c>
      <c r="BI36" s="672">
        <v>0</v>
      </c>
      <c r="BJ36" s="672">
        <v>0</v>
      </c>
      <c r="BK36" s="672">
        <v>0</v>
      </c>
      <c r="BL36" s="672">
        <v>0</v>
      </c>
      <c r="BM36" s="672">
        <v>0</v>
      </c>
      <c r="BN36" s="672">
        <v>0</v>
      </c>
      <c r="BO36" s="672">
        <v>0</v>
      </c>
      <c r="BP36" s="672">
        <v>0</v>
      </c>
      <c r="BQ36" s="672">
        <v>0</v>
      </c>
      <c r="BR36" s="672">
        <v>0</v>
      </c>
      <c r="BS36" s="672">
        <v>0</v>
      </c>
      <c r="BT36" s="672">
        <v>0</v>
      </c>
      <c r="BU36" s="672">
        <v>0</v>
      </c>
      <c r="BV36" s="672">
        <v>0</v>
      </c>
      <c r="BW36" s="672">
        <v>0</v>
      </c>
      <c r="BX36" s="672">
        <v>0</v>
      </c>
      <c r="BY36" s="672">
        <v>0</v>
      </c>
      <c r="BZ36" s="672">
        <v>0</v>
      </c>
      <c r="CA36" s="672">
        <v>0</v>
      </c>
      <c r="CB36" s="672">
        <v>0</v>
      </c>
      <c r="CC36" s="672">
        <v>0</v>
      </c>
      <c r="CD36" s="672">
        <v>0</v>
      </c>
      <c r="CE36" s="672">
        <v>0</v>
      </c>
      <c r="CF36" s="672">
        <v>0</v>
      </c>
      <c r="CG36" s="672">
        <v>0</v>
      </c>
      <c r="CH36" s="672">
        <v>0</v>
      </c>
      <c r="CI36" s="672">
        <v>0</v>
      </c>
    </row>
    <row r="37" spans="1:87" x14ac:dyDescent="0.25">
      <c r="A37" s="687" t="s">
        <v>34</v>
      </c>
      <c r="B37" s="689">
        <v>96</v>
      </c>
      <c r="C37" s="505">
        <f t="shared" si="156"/>
        <v>6</v>
      </c>
      <c r="D37" s="505">
        <f t="shared" si="157"/>
        <v>96</v>
      </c>
      <c r="E37" s="505">
        <f t="shared" si="158"/>
        <v>90</v>
      </c>
      <c r="F37" s="505">
        <f t="shared" si="159"/>
        <v>0</v>
      </c>
      <c r="J37" s="124" t="s">
        <v>2478</v>
      </c>
      <c r="K37" s="672">
        <f>IF(C26&gt;0,C26*D6*(-1),C26*F6)</f>
        <v>-1794</v>
      </c>
      <c r="L37" s="672">
        <v>0</v>
      </c>
      <c r="M37" s="672">
        <v>0</v>
      </c>
      <c r="N37" s="672">
        <v>0</v>
      </c>
      <c r="O37" s="672">
        <v>0</v>
      </c>
      <c r="P37" s="672">
        <v>0</v>
      </c>
      <c r="Q37" s="672">
        <v>0</v>
      </c>
      <c r="R37" s="672">
        <v>0</v>
      </c>
      <c r="S37" s="672">
        <v>0</v>
      </c>
      <c r="T37" s="672">
        <v>0</v>
      </c>
      <c r="U37" s="672">
        <v>0</v>
      </c>
      <c r="V37" s="672">
        <v>0</v>
      </c>
      <c r="W37" s="672">
        <v>0</v>
      </c>
      <c r="X37" s="672">
        <v>0</v>
      </c>
      <c r="Y37" s="672">
        <v>0</v>
      </c>
      <c r="Z37" s="672">
        <v>0</v>
      </c>
      <c r="AA37" s="672">
        <v>0</v>
      </c>
      <c r="AB37" s="672">
        <v>0</v>
      </c>
      <c r="AC37" s="672">
        <v>0</v>
      </c>
      <c r="AD37" s="672">
        <v>0</v>
      </c>
      <c r="AE37" s="672">
        <v>0</v>
      </c>
      <c r="AF37" s="672">
        <v>0</v>
      </c>
      <c r="AG37" s="672">
        <v>0</v>
      </c>
      <c r="AH37" s="672">
        <v>0</v>
      </c>
      <c r="AI37" s="672">
        <v>0</v>
      </c>
      <c r="AJ37" s="672">
        <v>0</v>
      </c>
      <c r="AK37" s="672">
        <v>0</v>
      </c>
      <c r="AL37" s="672">
        <v>0</v>
      </c>
      <c r="AM37" s="672">
        <v>0</v>
      </c>
      <c r="AN37" s="672">
        <v>0</v>
      </c>
      <c r="AO37" s="672">
        <v>0</v>
      </c>
      <c r="AP37" s="672">
        <v>0</v>
      </c>
      <c r="AQ37" s="672">
        <v>0</v>
      </c>
      <c r="AR37" s="672">
        <v>0</v>
      </c>
      <c r="AS37" s="672">
        <v>0</v>
      </c>
      <c r="AT37" s="672">
        <v>0</v>
      </c>
      <c r="AU37" s="672">
        <v>0</v>
      </c>
      <c r="AV37" s="672">
        <v>0</v>
      </c>
      <c r="AW37" s="672">
        <v>0</v>
      </c>
      <c r="AX37" s="672">
        <v>0</v>
      </c>
      <c r="AY37" s="672">
        <v>0</v>
      </c>
      <c r="AZ37" s="672">
        <v>0</v>
      </c>
      <c r="BA37" s="672">
        <v>0</v>
      </c>
      <c r="BB37" s="672">
        <v>0</v>
      </c>
      <c r="BC37" s="672">
        <v>0</v>
      </c>
      <c r="BD37" s="672">
        <v>0</v>
      </c>
      <c r="BE37" s="672">
        <v>0</v>
      </c>
      <c r="BF37" s="672">
        <v>0</v>
      </c>
      <c r="BG37" s="672">
        <v>0</v>
      </c>
      <c r="BH37" s="672">
        <v>0</v>
      </c>
      <c r="BI37" s="672">
        <v>0</v>
      </c>
      <c r="BJ37" s="672">
        <v>0</v>
      </c>
      <c r="BK37" s="672">
        <v>0</v>
      </c>
      <c r="BL37" s="672">
        <v>0</v>
      </c>
      <c r="BM37" s="672">
        <v>0</v>
      </c>
      <c r="BN37" s="672">
        <v>0</v>
      </c>
      <c r="BO37" s="672">
        <v>0</v>
      </c>
      <c r="BP37" s="672">
        <v>0</v>
      </c>
      <c r="BQ37" s="672">
        <v>0</v>
      </c>
      <c r="BR37" s="672">
        <v>0</v>
      </c>
      <c r="BS37" s="672">
        <v>0</v>
      </c>
      <c r="BT37" s="672">
        <v>0</v>
      </c>
      <c r="BU37" s="672">
        <v>0</v>
      </c>
      <c r="BV37" s="672">
        <v>0</v>
      </c>
      <c r="BW37" s="672">
        <v>0</v>
      </c>
      <c r="BX37" s="672">
        <v>0</v>
      </c>
      <c r="BY37" s="672">
        <v>0</v>
      </c>
      <c r="BZ37" s="672">
        <v>0</v>
      </c>
      <c r="CA37" s="672">
        <v>0</v>
      </c>
      <c r="CB37" s="672">
        <v>0</v>
      </c>
      <c r="CC37" s="672">
        <v>0</v>
      </c>
      <c r="CD37" s="672">
        <v>0</v>
      </c>
      <c r="CE37" s="672">
        <v>0</v>
      </c>
      <c r="CF37" s="672">
        <v>0</v>
      </c>
      <c r="CG37" s="672">
        <v>0</v>
      </c>
      <c r="CH37" s="672">
        <v>0</v>
      </c>
      <c r="CI37" s="672">
        <v>0</v>
      </c>
    </row>
    <row r="38" spans="1:87" x14ac:dyDescent="0.25">
      <c r="A38" s="687" t="s">
        <v>35</v>
      </c>
      <c r="B38" s="690">
        <f>(300+6)/C8</f>
        <v>122.4</v>
      </c>
      <c r="C38" s="505">
        <f t="shared" si="156"/>
        <v>6</v>
      </c>
      <c r="D38" s="505">
        <f t="shared" si="157"/>
        <v>306</v>
      </c>
      <c r="E38" s="505">
        <f t="shared" si="158"/>
        <v>300</v>
      </c>
      <c r="F38" s="505">
        <f t="shared" si="159"/>
        <v>0</v>
      </c>
      <c r="J38" s="124" t="s">
        <v>2479</v>
      </c>
      <c r="K38" s="672">
        <f>IF(C27&gt;0,C27*D7*(-1),C27*F7)</f>
        <v>-1512</v>
      </c>
      <c r="L38" s="672">
        <v>0</v>
      </c>
      <c r="M38" s="672">
        <v>0</v>
      </c>
      <c r="N38" s="672">
        <v>0</v>
      </c>
      <c r="O38" s="672">
        <v>0</v>
      </c>
      <c r="P38" s="672">
        <v>0</v>
      </c>
      <c r="Q38" s="672">
        <v>0</v>
      </c>
      <c r="R38" s="672">
        <v>0</v>
      </c>
      <c r="S38" s="672">
        <v>0</v>
      </c>
      <c r="T38" s="672">
        <v>0</v>
      </c>
      <c r="U38" s="672">
        <v>0</v>
      </c>
      <c r="V38" s="672">
        <v>0</v>
      </c>
      <c r="W38" s="672">
        <v>0</v>
      </c>
      <c r="X38" s="672">
        <v>0</v>
      </c>
      <c r="Y38" s="672">
        <v>0</v>
      </c>
      <c r="Z38" s="672">
        <v>0</v>
      </c>
      <c r="AA38" s="672">
        <v>0</v>
      </c>
      <c r="AB38" s="672">
        <v>0</v>
      </c>
      <c r="AC38" s="672">
        <v>0</v>
      </c>
      <c r="AD38" s="672">
        <v>0</v>
      </c>
      <c r="AE38" s="672">
        <v>0</v>
      </c>
      <c r="AF38" s="672">
        <v>0</v>
      </c>
      <c r="AG38" s="672">
        <v>0</v>
      </c>
      <c r="AH38" s="672">
        <v>0</v>
      </c>
      <c r="AI38" s="672">
        <v>0</v>
      </c>
      <c r="AJ38" s="672">
        <v>0</v>
      </c>
      <c r="AK38" s="672">
        <v>0</v>
      </c>
      <c r="AL38" s="672">
        <v>0</v>
      </c>
      <c r="AM38" s="672">
        <v>0</v>
      </c>
      <c r="AN38" s="672">
        <v>0</v>
      </c>
      <c r="AO38" s="672">
        <v>0</v>
      </c>
      <c r="AP38" s="672">
        <v>0</v>
      </c>
      <c r="AQ38" s="672">
        <v>0</v>
      </c>
      <c r="AR38" s="672">
        <v>0</v>
      </c>
      <c r="AS38" s="672">
        <v>0</v>
      </c>
      <c r="AT38" s="672">
        <v>0</v>
      </c>
      <c r="AU38" s="672">
        <v>0</v>
      </c>
      <c r="AV38" s="672">
        <v>0</v>
      </c>
      <c r="AW38" s="672">
        <v>0</v>
      </c>
      <c r="AX38" s="672">
        <v>0</v>
      </c>
      <c r="AY38" s="672">
        <v>0</v>
      </c>
      <c r="AZ38" s="672">
        <v>0</v>
      </c>
      <c r="BA38" s="672">
        <v>0</v>
      </c>
      <c r="BB38" s="672">
        <v>0</v>
      </c>
      <c r="BC38" s="672">
        <v>0</v>
      </c>
      <c r="BD38" s="672">
        <v>0</v>
      </c>
      <c r="BE38" s="672">
        <v>0</v>
      </c>
      <c r="BF38" s="672">
        <v>0</v>
      </c>
      <c r="BG38" s="672">
        <v>0</v>
      </c>
      <c r="BH38" s="672">
        <v>0</v>
      </c>
      <c r="BI38" s="672">
        <v>0</v>
      </c>
      <c r="BJ38" s="672">
        <v>0</v>
      </c>
      <c r="BK38" s="672">
        <v>0</v>
      </c>
      <c r="BL38" s="672">
        <v>0</v>
      </c>
      <c r="BM38" s="672">
        <v>0</v>
      </c>
      <c r="BN38" s="672">
        <v>0</v>
      </c>
      <c r="BO38" s="672">
        <v>0</v>
      </c>
      <c r="BP38" s="672">
        <v>0</v>
      </c>
      <c r="BQ38" s="672">
        <v>0</v>
      </c>
      <c r="BR38" s="672">
        <v>0</v>
      </c>
      <c r="BS38" s="672">
        <v>0</v>
      </c>
      <c r="BT38" s="672">
        <v>0</v>
      </c>
      <c r="BU38" s="672">
        <v>0</v>
      </c>
      <c r="BV38" s="672">
        <v>0</v>
      </c>
      <c r="BW38" s="672">
        <v>0</v>
      </c>
      <c r="BX38" s="672">
        <v>0</v>
      </c>
      <c r="BY38" s="672">
        <v>0</v>
      </c>
      <c r="BZ38" s="672">
        <v>0</v>
      </c>
      <c r="CA38" s="672">
        <v>0</v>
      </c>
      <c r="CB38" s="672">
        <v>0</v>
      </c>
      <c r="CC38" s="672">
        <v>0</v>
      </c>
      <c r="CD38" s="672">
        <v>0</v>
      </c>
      <c r="CE38" s="672">
        <v>0</v>
      </c>
      <c r="CF38" s="672">
        <v>0</v>
      </c>
      <c r="CG38" s="672">
        <v>0</v>
      </c>
      <c r="CH38" s="672">
        <v>0</v>
      </c>
      <c r="CI38" s="672">
        <v>0</v>
      </c>
    </row>
    <row r="39" spans="1:87" x14ac:dyDescent="0.25">
      <c r="J39" s="124" t="s">
        <v>2480</v>
      </c>
      <c r="K39" s="672">
        <f>IF(C28&gt;0,C28*D8*(-1),C28*F8)</f>
        <v>-186</v>
      </c>
      <c r="L39" s="672">
        <v>0</v>
      </c>
      <c r="M39" s="672">
        <v>0</v>
      </c>
      <c r="N39" s="672">
        <v>0</v>
      </c>
      <c r="O39" s="672">
        <v>0</v>
      </c>
      <c r="P39" s="672">
        <v>0</v>
      </c>
      <c r="Q39" s="672">
        <v>0</v>
      </c>
      <c r="R39" s="672">
        <v>0</v>
      </c>
      <c r="S39" s="672">
        <v>0</v>
      </c>
      <c r="T39" s="672">
        <v>0</v>
      </c>
      <c r="U39" s="672">
        <v>0</v>
      </c>
      <c r="V39" s="672">
        <v>0</v>
      </c>
      <c r="W39" s="672">
        <v>0</v>
      </c>
      <c r="X39" s="672">
        <v>0</v>
      </c>
      <c r="Y39" s="672">
        <v>0</v>
      </c>
      <c r="Z39" s="672">
        <v>0</v>
      </c>
      <c r="AA39" s="672">
        <v>0</v>
      </c>
      <c r="AB39" s="672">
        <v>0</v>
      </c>
      <c r="AC39" s="672">
        <v>0</v>
      </c>
      <c r="AD39" s="672">
        <v>0</v>
      </c>
      <c r="AE39" s="672">
        <v>0</v>
      </c>
      <c r="AF39" s="672">
        <v>0</v>
      </c>
      <c r="AG39" s="672">
        <v>0</v>
      </c>
      <c r="AH39" s="672">
        <v>0</v>
      </c>
      <c r="AI39" s="672">
        <v>0</v>
      </c>
      <c r="AJ39" s="672">
        <v>0</v>
      </c>
      <c r="AK39" s="672">
        <v>0</v>
      </c>
      <c r="AL39" s="672">
        <v>0</v>
      </c>
      <c r="AM39" s="672">
        <v>0</v>
      </c>
      <c r="AN39" s="672">
        <v>0</v>
      </c>
      <c r="AO39" s="672">
        <v>0</v>
      </c>
      <c r="AP39" s="672">
        <v>0</v>
      </c>
      <c r="AQ39" s="672">
        <v>0</v>
      </c>
      <c r="AR39" s="672">
        <v>0</v>
      </c>
      <c r="AS39" s="672">
        <v>0</v>
      </c>
      <c r="AT39" s="672">
        <v>0</v>
      </c>
      <c r="AU39" s="672">
        <v>0</v>
      </c>
      <c r="AV39" s="672">
        <v>0</v>
      </c>
      <c r="AW39" s="672">
        <v>0</v>
      </c>
      <c r="AX39" s="672">
        <v>0</v>
      </c>
      <c r="AY39" s="672">
        <v>0</v>
      </c>
      <c r="AZ39" s="672">
        <v>0</v>
      </c>
      <c r="BA39" s="672">
        <v>0</v>
      </c>
      <c r="BB39" s="672">
        <v>0</v>
      </c>
      <c r="BC39" s="672">
        <v>0</v>
      </c>
      <c r="BD39" s="672">
        <v>0</v>
      </c>
      <c r="BE39" s="672">
        <v>0</v>
      </c>
      <c r="BF39" s="672">
        <v>0</v>
      </c>
      <c r="BG39" s="672">
        <v>0</v>
      </c>
      <c r="BH39" s="672">
        <v>0</v>
      </c>
      <c r="BI39" s="672">
        <v>0</v>
      </c>
      <c r="BJ39" s="672">
        <v>0</v>
      </c>
      <c r="BK39" s="672">
        <v>0</v>
      </c>
      <c r="BL39" s="672">
        <v>0</v>
      </c>
      <c r="BM39" s="672">
        <v>0</v>
      </c>
      <c r="BN39" s="672">
        <v>0</v>
      </c>
      <c r="BO39" s="672">
        <v>0</v>
      </c>
      <c r="BP39" s="672">
        <v>0</v>
      </c>
      <c r="BQ39" s="672">
        <v>0</v>
      </c>
      <c r="BR39" s="672">
        <v>0</v>
      </c>
      <c r="BS39" s="672">
        <v>0</v>
      </c>
      <c r="BT39" s="672">
        <v>0</v>
      </c>
      <c r="BU39" s="672">
        <v>0</v>
      </c>
      <c r="BV39" s="672">
        <v>0</v>
      </c>
      <c r="BW39" s="672">
        <v>0</v>
      </c>
      <c r="BX39" s="672">
        <v>0</v>
      </c>
      <c r="BY39" s="672">
        <v>0</v>
      </c>
      <c r="BZ39" s="672">
        <v>0</v>
      </c>
      <c r="CA39" s="672">
        <v>0</v>
      </c>
      <c r="CB39" s="672">
        <v>0</v>
      </c>
      <c r="CC39" s="672">
        <v>0</v>
      </c>
      <c r="CD39" s="672">
        <v>0</v>
      </c>
      <c r="CE39" s="672">
        <v>0</v>
      </c>
      <c r="CF39" s="672">
        <v>0</v>
      </c>
      <c r="CG39" s="672">
        <v>0</v>
      </c>
      <c r="CH39" s="672">
        <v>0</v>
      </c>
      <c r="CI39" s="672">
        <v>0</v>
      </c>
    </row>
    <row r="40" spans="1:87" x14ac:dyDescent="0.25">
      <c r="J40" s="124" t="s">
        <v>2481</v>
      </c>
      <c r="K40" s="673">
        <f>K39+K38+K37+K36+K35</f>
        <v>-18178</v>
      </c>
      <c r="L40" s="672">
        <v>0</v>
      </c>
      <c r="M40" s="672">
        <v>0</v>
      </c>
      <c r="N40" s="672">
        <v>0</v>
      </c>
      <c r="O40" s="672">
        <v>0</v>
      </c>
      <c r="P40" s="672">
        <v>0</v>
      </c>
      <c r="Q40" s="672">
        <v>0</v>
      </c>
      <c r="R40" s="672">
        <v>0</v>
      </c>
      <c r="S40" s="672">
        <v>0</v>
      </c>
      <c r="T40" s="672">
        <v>0</v>
      </c>
      <c r="U40" s="672">
        <v>0</v>
      </c>
      <c r="V40" s="672">
        <v>0</v>
      </c>
      <c r="W40" s="672">
        <v>0</v>
      </c>
      <c r="X40" s="672">
        <v>0</v>
      </c>
      <c r="Y40" s="672">
        <v>0</v>
      </c>
      <c r="Z40" s="672">
        <v>0</v>
      </c>
      <c r="AA40" s="672">
        <v>0</v>
      </c>
      <c r="AB40" s="672">
        <v>0</v>
      </c>
      <c r="AC40" s="672">
        <v>0</v>
      </c>
      <c r="AD40" s="672">
        <v>0</v>
      </c>
      <c r="AE40" s="672">
        <v>0</v>
      </c>
      <c r="AF40" s="672">
        <v>0</v>
      </c>
      <c r="AG40" s="672">
        <v>0</v>
      </c>
      <c r="AH40" s="672">
        <v>0</v>
      </c>
      <c r="AI40" s="672">
        <v>0</v>
      </c>
      <c r="AJ40" s="672">
        <v>0</v>
      </c>
      <c r="AK40" s="672">
        <v>0</v>
      </c>
      <c r="AL40" s="672">
        <v>0</v>
      </c>
      <c r="AM40" s="672">
        <v>0</v>
      </c>
      <c r="AN40" s="672">
        <v>0</v>
      </c>
      <c r="AO40" s="672">
        <v>0</v>
      </c>
      <c r="AP40" s="672">
        <v>0</v>
      </c>
      <c r="AQ40" s="672">
        <v>0</v>
      </c>
      <c r="AR40" s="672">
        <v>0</v>
      </c>
      <c r="AS40" s="672">
        <v>0</v>
      </c>
      <c r="AT40" s="672">
        <v>0</v>
      </c>
      <c r="AU40" s="672">
        <v>0</v>
      </c>
      <c r="AV40" s="672">
        <v>0</v>
      </c>
      <c r="AW40" s="672">
        <v>0</v>
      </c>
      <c r="AX40" s="672">
        <v>0</v>
      </c>
      <c r="AY40" s="672">
        <v>0</v>
      </c>
      <c r="AZ40" s="672">
        <v>0</v>
      </c>
      <c r="BA40" s="672">
        <v>0</v>
      </c>
      <c r="BB40" s="672">
        <v>0</v>
      </c>
      <c r="BC40" s="672">
        <v>0</v>
      </c>
      <c r="BD40" s="672">
        <v>0</v>
      </c>
      <c r="BE40" s="672">
        <v>0</v>
      </c>
      <c r="BF40" s="672">
        <v>0</v>
      </c>
      <c r="BG40" s="672">
        <v>0</v>
      </c>
      <c r="BH40" s="672">
        <v>0</v>
      </c>
      <c r="BI40" s="672">
        <v>0</v>
      </c>
      <c r="BJ40" s="672">
        <v>0</v>
      </c>
      <c r="BK40" s="672">
        <v>0</v>
      </c>
      <c r="BL40" s="672">
        <v>0</v>
      </c>
      <c r="BM40" s="672">
        <v>0</v>
      </c>
      <c r="BN40" s="672">
        <v>0</v>
      </c>
      <c r="BO40" s="672">
        <v>0</v>
      </c>
      <c r="BP40" s="672">
        <v>0</v>
      </c>
      <c r="BQ40" s="672">
        <v>0</v>
      </c>
      <c r="BR40" s="672">
        <v>0</v>
      </c>
      <c r="BS40" s="672">
        <v>0</v>
      </c>
      <c r="BT40" s="672">
        <v>0</v>
      </c>
      <c r="BU40" s="672">
        <v>0</v>
      </c>
      <c r="BV40" s="672">
        <v>0</v>
      </c>
      <c r="BW40" s="672">
        <v>0</v>
      </c>
      <c r="BX40" s="672">
        <v>0</v>
      </c>
      <c r="BY40" s="672">
        <v>0</v>
      </c>
      <c r="BZ40" s="672">
        <v>0</v>
      </c>
      <c r="CA40" s="672">
        <v>0</v>
      </c>
      <c r="CB40" s="672">
        <v>0</v>
      </c>
      <c r="CC40" s="672">
        <v>0</v>
      </c>
      <c r="CD40" s="672">
        <v>0</v>
      </c>
      <c r="CE40" s="672">
        <v>0</v>
      </c>
      <c r="CF40" s="672">
        <v>0</v>
      </c>
      <c r="CG40" s="672">
        <v>0</v>
      </c>
      <c r="CH40" s="672">
        <v>0</v>
      </c>
      <c r="CI40" s="672">
        <v>0</v>
      </c>
    </row>
    <row r="41" spans="1:87" x14ac:dyDescent="0.25">
      <c r="J41" s="381" t="s">
        <v>2484</v>
      </c>
      <c r="K41" s="677">
        <f>K26+K18+K19+K20+K21</f>
        <v>470253.4375</v>
      </c>
      <c r="L41" s="677">
        <f t="shared" ref="L41:AP41" si="160">L26+L18+L19+L20+L21</f>
        <v>-41599.199999999997</v>
      </c>
      <c r="M41" s="677">
        <f t="shared" si="160"/>
        <v>473064.52750000003</v>
      </c>
      <c r="N41" s="677">
        <f t="shared" si="160"/>
        <v>-41599.199999999997</v>
      </c>
      <c r="O41" s="677">
        <f t="shared" si="160"/>
        <v>475875.61749999993</v>
      </c>
      <c r="P41" s="677">
        <f t="shared" si="160"/>
        <v>-41599.199999999997</v>
      </c>
      <c r="Q41" s="677">
        <f t="shared" si="160"/>
        <v>478686.7074999999</v>
      </c>
      <c r="R41" s="677">
        <f t="shared" si="160"/>
        <v>-41599.199999999997</v>
      </c>
      <c r="S41" s="677">
        <f t="shared" si="160"/>
        <v>481497.79749999993</v>
      </c>
      <c r="T41" s="677">
        <f t="shared" si="160"/>
        <v>-41599.199999999997</v>
      </c>
      <c r="U41" s="677">
        <f t="shared" si="160"/>
        <v>484308.88750000001</v>
      </c>
      <c r="V41" s="677">
        <f t="shared" si="160"/>
        <v>-41599.199999999997</v>
      </c>
      <c r="W41" s="677">
        <f t="shared" si="160"/>
        <v>-41599.199999999997</v>
      </c>
      <c r="X41" s="677">
        <f t="shared" si="160"/>
        <v>-41599.199999999997</v>
      </c>
      <c r="Y41" s="677">
        <f t="shared" si="160"/>
        <v>488994.03749999998</v>
      </c>
      <c r="Z41" s="677">
        <f t="shared" si="160"/>
        <v>-41599.199999999997</v>
      </c>
      <c r="AA41" s="677">
        <f t="shared" si="160"/>
        <v>490868.09749999997</v>
      </c>
      <c r="AB41" s="677">
        <f t="shared" si="160"/>
        <v>-41599.199999999997</v>
      </c>
      <c r="AC41" s="677">
        <f t="shared" si="160"/>
        <v>492742.15749999997</v>
      </c>
      <c r="AD41" s="677">
        <f t="shared" si="160"/>
        <v>-41599.199999999997</v>
      </c>
      <c r="AE41" s="677">
        <f t="shared" si="160"/>
        <v>494616.21749999997</v>
      </c>
      <c r="AF41" s="677">
        <f t="shared" si="160"/>
        <v>-41599.199999999997</v>
      </c>
      <c r="AG41" s="677">
        <f t="shared" si="160"/>
        <v>496490.27750000003</v>
      </c>
      <c r="AH41" s="677">
        <f t="shared" si="160"/>
        <v>-41599.199999999997</v>
      </c>
      <c r="AI41" s="677">
        <f t="shared" si="160"/>
        <v>498364.33750000002</v>
      </c>
      <c r="AJ41" s="677">
        <f t="shared" si="160"/>
        <v>-41599.199999999997</v>
      </c>
      <c r="AK41" s="677">
        <f t="shared" si="160"/>
        <v>500238.39750000002</v>
      </c>
      <c r="AL41" s="677">
        <f t="shared" si="160"/>
        <v>-41599.199999999997</v>
      </c>
      <c r="AM41" s="677">
        <f t="shared" si="160"/>
        <v>-41599.199999999997</v>
      </c>
      <c r="AN41" s="677">
        <f t="shared" si="160"/>
        <v>556483.62325000006</v>
      </c>
      <c r="AO41" s="677">
        <f t="shared" si="160"/>
        <v>-41599.199999999997</v>
      </c>
      <c r="AP41" s="677">
        <f t="shared" si="160"/>
        <v>558357.68325</v>
      </c>
      <c r="AQ41" s="677">
        <f t="shared" ref="AQ41:BF41" si="161">AQ26+AQ18+AQ19+AQ20+AQ21</f>
        <v>-41599.199999999997</v>
      </c>
      <c r="AR41" s="677">
        <f t="shared" si="161"/>
        <v>560231.74325000006</v>
      </c>
      <c r="AS41" s="677">
        <f t="shared" si="161"/>
        <v>-41599.199999999997</v>
      </c>
      <c r="AT41" s="677">
        <f t="shared" si="161"/>
        <v>562105.80325</v>
      </c>
      <c r="AU41" s="677">
        <f t="shared" si="161"/>
        <v>-41599.199999999997</v>
      </c>
      <c r="AV41" s="677">
        <f t="shared" si="161"/>
        <v>563979.86325000005</v>
      </c>
      <c r="AW41" s="677">
        <f t="shared" si="161"/>
        <v>-41599.199999999997</v>
      </c>
      <c r="AX41" s="677">
        <f t="shared" si="161"/>
        <v>565853.92325000011</v>
      </c>
      <c r="AY41" s="677">
        <f t="shared" si="161"/>
        <v>-41599.199999999997</v>
      </c>
      <c r="AZ41" s="677">
        <f t="shared" si="161"/>
        <v>567727.98325000005</v>
      </c>
      <c r="BA41" s="677">
        <f t="shared" si="161"/>
        <v>-41599.199999999997</v>
      </c>
      <c r="BB41" s="677">
        <f t="shared" si="161"/>
        <v>-41599.199999999997</v>
      </c>
      <c r="BC41" s="677">
        <f t="shared" si="161"/>
        <v>-41599.199999999997</v>
      </c>
      <c r="BD41" s="677">
        <f t="shared" si="161"/>
        <v>571476.10325000004</v>
      </c>
      <c r="BE41" s="677">
        <f t="shared" si="161"/>
        <v>-41599.199999999997</v>
      </c>
      <c r="BF41" s="677">
        <f t="shared" si="161"/>
        <v>573350.1632500001</v>
      </c>
      <c r="BG41" s="677">
        <f t="shared" ref="BG41:BV41" si="162">BG26+BG18+BG19+BG20+BG21</f>
        <v>-41599.199999999997</v>
      </c>
      <c r="BH41" s="677">
        <f t="shared" si="162"/>
        <v>575224.22325000004</v>
      </c>
      <c r="BI41" s="677">
        <f t="shared" si="162"/>
        <v>-41599.199999999997</v>
      </c>
      <c r="BJ41" s="677">
        <f t="shared" si="162"/>
        <v>577098.28325000009</v>
      </c>
      <c r="BK41" s="677">
        <f t="shared" si="162"/>
        <v>-41599.199999999997</v>
      </c>
      <c r="BL41" s="677">
        <f t="shared" si="162"/>
        <v>578972.34325000015</v>
      </c>
      <c r="BM41" s="677">
        <f t="shared" si="162"/>
        <v>-41599.199999999997</v>
      </c>
      <c r="BN41" s="677">
        <f t="shared" si="162"/>
        <v>580846.40325000009</v>
      </c>
      <c r="BO41" s="677">
        <f t="shared" si="162"/>
        <v>-41599.199999999997</v>
      </c>
      <c r="BP41" s="677">
        <f t="shared" si="162"/>
        <v>582720.46325000003</v>
      </c>
      <c r="BQ41" s="677">
        <f t="shared" si="162"/>
        <v>-41599.199999999997</v>
      </c>
      <c r="BR41" s="677">
        <f t="shared" si="162"/>
        <v>-41599.199999999997</v>
      </c>
      <c r="BS41" s="677">
        <f t="shared" si="162"/>
        <v>-41599.199999999997</v>
      </c>
      <c r="BT41" s="677">
        <f t="shared" si="162"/>
        <v>599912.80000000005</v>
      </c>
      <c r="BU41" s="677">
        <f t="shared" si="162"/>
        <v>-41599.199999999997</v>
      </c>
      <c r="BV41" s="677">
        <f t="shared" si="162"/>
        <v>599912.80000000005</v>
      </c>
      <c r="BW41" s="677">
        <f t="shared" ref="BW41:CI41" si="163">BW26+BW18+BW19+BW20+BW21</f>
        <v>-41599.199999999997</v>
      </c>
      <c r="BX41" s="677">
        <f t="shared" si="163"/>
        <v>599912.80000000005</v>
      </c>
      <c r="BY41" s="677">
        <f t="shared" si="163"/>
        <v>-41599.199999999997</v>
      </c>
      <c r="BZ41" s="677">
        <f t="shared" si="163"/>
        <v>599912.80000000005</v>
      </c>
      <c r="CA41" s="677">
        <f t="shared" si="163"/>
        <v>-41599.199999999997</v>
      </c>
      <c r="CB41" s="677">
        <f t="shared" si="163"/>
        <v>599912.80000000005</v>
      </c>
      <c r="CC41" s="677">
        <f t="shared" si="163"/>
        <v>-41599.199999999997</v>
      </c>
      <c r="CD41" s="677">
        <f t="shared" si="163"/>
        <v>599912.80000000005</v>
      </c>
      <c r="CE41" s="677">
        <f t="shared" si="163"/>
        <v>-41599.199999999997</v>
      </c>
      <c r="CF41" s="677">
        <f t="shared" si="163"/>
        <v>599912.80000000005</v>
      </c>
      <c r="CG41" s="677">
        <f t="shared" si="163"/>
        <v>-41599.199999999997</v>
      </c>
      <c r="CH41" s="677">
        <f t="shared" si="163"/>
        <v>-41599.199999999997</v>
      </c>
      <c r="CI41" s="677">
        <f t="shared" si="163"/>
        <v>-41599.199999999997</v>
      </c>
    </row>
    <row r="42" spans="1:87" x14ac:dyDescent="0.25">
      <c r="J42" s="381" t="s">
        <v>2485</v>
      </c>
      <c r="K42" s="677">
        <f>K27+K28+K29+K30+K31+K32+K33+K34+K35+K36+K37+K38+K39+K22+K23+K24+K25</f>
        <v>452075.4375</v>
      </c>
      <c r="L42" s="677">
        <f t="shared" ref="L42:AP42" si="164">L27+L28+L29+L30+L31+L32+L33+L34+L35+L36+L37+L38+L39+L22+L23+L24+L25</f>
        <v>-40669.899999999994</v>
      </c>
      <c r="M42" s="677">
        <f t="shared" si="164"/>
        <v>473993.82749999996</v>
      </c>
      <c r="N42" s="677">
        <f t="shared" si="164"/>
        <v>-40669.9</v>
      </c>
      <c r="O42" s="677">
        <f t="shared" si="164"/>
        <v>476804.91749999998</v>
      </c>
      <c r="P42" s="677">
        <f t="shared" si="164"/>
        <v>-40669.899999999994</v>
      </c>
      <c r="Q42" s="677">
        <f t="shared" si="164"/>
        <v>479616.00749999995</v>
      </c>
      <c r="R42" s="677">
        <f t="shared" si="164"/>
        <v>-40669.899999999994</v>
      </c>
      <c r="S42" s="677">
        <f t="shared" si="164"/>
        <v>482427.09749999997</v>
      </c>
      <c r="T42" s="677">
        <f t="shared" si="164"/>
        <v>-40669.9</v>
      </c>
      <c r="U42" s="677">
        <f t="shared" si="164"/>
        <v>485238.1875</v>
      </c>
      <c r="V42" s="677">
        <f t="shared" si="164"/>
        <v>-40669.899999999994</v>
      </c>
      <c r="W42" s="677">
        <f t="shared" si="164"/>
        <v>-40669.899999999994</v>
      </c>
      <c r="X42" s="677">
        <f t="shared" si="164"/>
        <v>-40669.9</v>
      </c>
      <c r="Y42" s="677">
        <f t="shared" si="164"/>
        <v>489923.33750000002</v>
      </c>
      <c r="Z42" s="677">
        <f t="shared" si="164"/>
        <v>-40669.9</v>
      </c>
      <c r="AA42" s="677">
        <f t="shared" si="164"/>
        <v>491797.39749999996</v>
      </c>
      <c r="AB42" s="677">
        <f t="shared" si="164"/>
        <v>-40669.899999999994</v>
      </c>
      <c r="AC42" s="677">
        <f t="shared" si="164"/>
        <v>493671.4574999999</v>
      </c>
      <c r="AD42" s="677">
        <f t="shared" si="164"/>
        <v>-40669.9</v>
      </c>
      <c r="AE42" s="677">
        <f t="shared" si="164"/>
        <v>495545.51750000002</v>
      </c>
      <c r="AF42" s="677">
        <f t="shared" si="164"/>
        <v>-40669.9</v>
      </c>
      <c r="AG42" s="677">
        <f t="shared" si="164"/>
        <v>497419.57749999996</v>
      </c>
      <c r="AH42" s="677">
        <f t="shared" si="164"/>
        <v>-40669.899999999994</v>
      </c>
      <c r="AI42" s="677">
        <f t="shared" si="164"/>
        <v>499293.63749999995</v>
      </c>
      <c r="AJ42" s="677">
        <f t="shared" si="164"/>
        <v>-40669.899999999994</v>
      </c>
      <c r="AK42" s="677">
        <f t="shared" si="164"/>
        <v>501167.69749999995</v>
      </c>
      <c r="AL42" s="677">
        <f t="shared" si="164"/>
        <v>-40669.9</v>
      </c>
      <c r="AM42" s="677">
        <f t="shared" si="164"/>
        <v>-40669.9</v>
      </c>
      <c r="AN42" s="677">
        <f t="shared" si="164"/>
        <v>557412.92324999999</v>
      </c>
      <c r="AO42" s="677">
        <f t="shared" si="164"/>
        <v>-40669.899999999994</v>
      </c>
      <c r="AP42" s="677">
        <f t="shared" si="164"/>
        <v>559286.98325000005</v>
      </c>
      <c r="AQ42" s="677">
        <f t="shared" ref="AQ42:BF42" si="165">AQ27+AQ28+AQ29+AQ30+AQ31+AQ32+AQ33+AQ34+AQ35+AQ36+AQ37+AQ38+AQ39+AQ22+AQ23+AQ24+AQ25</f>
        <v>-40669.9</v>
      </c>
      <c r="AR42" s="677">
        <f t="shared" si="165"/>
        <v>561161.0432500001</v>
      </c>
      <c r="AS42" s="677">
        <f t="shared" si="165"/>
        <v>-40669.9</v>
      </c>
      <c r="AT42" s="677">
        <f t="shared" si="165"/>
        <v>563035.10325000004</v>
      </c>
      <c r="AU42" s="677">
        <f t="shared" si="165"/>
        <v>-40669.899999999994</v>
      </c>
      <c r="AV42" s="677">
        <f t="shared" si="165"/>
        <v>564909.1632500001</v>
      </c>
      <c r="AW42" s="677">
        <f t="shared" si="165"/>
        <v>-40669.9</v>
      </c>
      <c r="AX42" s="677">
        <f t="shared" si="165"/>
        <v>566783.22325000004</v>
      </c>
      <c r="AY42" s="677">
        <f t="shared" si="165"/>
        <v>-40669.9</v>
      </c>
      <c r="AZ42" s="677">
        <f t="shared" si="165"/>
        <v>568657.28324999998</v>
      </c>
      <c r="BA42" s="677">
        <f t="shared" si="165"/>
        <v>-40669.899999999994</v>
      </c>
      <c r="BB42" s="677">
        <f t="shared" si="165"/>
        <v>-40669.9</v>
      </c>
      <c r="BC42" s="677">
        <f t="shared" si="165"/>
        <v>-40669.899999999994</v>
      </c>
      <c r="BD42" s="677">
        <f t="shared" si="165"/>
        <v>572405.40325000009</v>
      </c>
      <c r="BE42" s="677">
        <f t="shared" si="165"/>
        <v>-40669.9</v>
      </c>
      <c r="BF42" s="677">
        <f t="shared" si="165"/>
        <v>574279.46325000015</v>
      </c>
      <c r="BG42" s="677">
        <f t="shared" ref="BG42:BV42" si="166">BG27+BG28+BG29+BG30+BG31+BG32+BG33+BG34+BG35+BG36+BG37+BG38+BG39+BG22+BG23+BG24+BG25</f>
        <v>-40669.900000000009</v>
      </c>
      <c r="BH42" s="677">
        <f t="shared" si="166"/>
        <v>576153.52324999997</v>
      </c>
      <c r="BI42" s="677">
        <f t="shared" si="166"/>
        <v>-40669.9</v>
      </c>
      <c r="BJ42" s="677">
        <f t="shared" si="166"/>
        <v>578027.58325000014</v>
      </c>
      <c r="BK42" s="677">
        <f t="shared" si="166"/>
        <v>-40669.9</v>
      </c>
      <c r="BL42" s="677">
        <f t="shared" si="166"/>
        <v>579901.64325000008</v>
      </c>
      <c r="BM42" s="677">
        <f t="shared" si="166"/>
        <v>-40669.9</v>
      </c>
      <c r="BN42" s="677">
        <f t="shared" si="166"/>
        <v>581775.70325000002</v>
      </c>
      <c r="BO42" s="677">
        <f t="shared" si="166"/>
        <v>-40669.9</v>
      </c>
      <c r="BP42" s="677">
        <f t="shared" si="166"/>
        <v>583649.76325000008</v>
      </c>
      <c r="BQ42" s="677">
        <f t="shared" si="166"/>
        <v>-40669.899999999994</v>
      </c>
      <c r="BR42" s="677">
        <f t="shared" si="166"/>
        <v>-40669.900000000009</v>
      </c>
      <c r="BS42" s="677">
        <f t="shared" si="166"/>
        <v>-40669.9</v>
      </c>
      <c r="BT42" s="677">
        <f t="shared" si="166"/>
        <v>586512.1</v>
      </c>
      <c r="BU42" s="677">
        <f t="shared" si="166"/>
        <v>-40669.9</v>
      </c>
      <c r="BV42" s="677">
        <f t="shared" si="166"/>
        <v>586512.1</v>
      </c>
      <c r="BW42" s="677">
        <f t="shared" ref="BW42:CI42" si="167">BW27+BW28+BW29+BW30+BW31+BW32+BW33+BW34+BW35+BW36+BW37+BW38+BW39+BW22+BW23+BW24+BW25</f>
        <v>-40669.9</v>
      </c>
      <c r="BX42" s="677">
        <f t="shared" si="167"/>
        <v>586512.1</v>
      </c>
      <c r="BY42" s="677">
        <f t="shared" si="167"/>
        <v>-40669.9</v>
      </c>
      <c r="BZ42" s="677">
        <f t="shared" si="167"/>
        <v>586512.1</v>
      </c>
      <c r="CA42" s="677">
        <f t="shared" si="167"/>
        <v>-40669.9</v>
      </c>
      <c r="CB42" s="677">
        <f t="shared" si="167"/>
        <v>586512.1</v>
      </c>
      <c r="CC42" s="677">
        <f t="shared" si="167"/>
        <v>-40669.9</v>
      </c>
      <c r="CD42" s="677">
        <f t="shared" si="167"/>
        <v>586512.1</v>
      </c>
      <c r="CE42" s="677">
        <f t="shared" si="167"/>
        <v>-40669.9</v>
      </c>
      <c r="CF42" s="677">
        <f t="shared" si="167"/>
        <v>586512.1</v>
      </c>
      <c r="CG42" s="677">
        <f t="shared" si="167"/>
        <v>-40669.9</v>
      </c>
      <c r="CH42" s="677">
        <f t="shared" si="167"/>
        <v>-40669.9</v>
      </c>
      <c r="CI42" s="677">
        <f t="shared" si="167"/>
        <v>-40669.9</v>
      </c>
    </row>
    <row r="43" spans="1:87" s="680" customFormat="1" ht="18.75" x14ac:dyDescent="0.3">
      <c r="C43" s="679"/>
      <c r="D43" s="679"/>
      <c r="E43" s="679"/>
      <c r="J43" s="681" t="s">
        <v>2418</v>
      </c>
      <c r="K43" s="682">
        <f>K42-K41</f>
        <v>-18178</v>
      </c>
      <c r="L43" s="682">
        <f t="shared" ref="L43:AP43" si="168">L42-L41</f>
        <v>929.30000000000291</v>
      </c>
      <c r="M43" s="682">
        <f t="shared" si="168"/>
        <v>929.29999999993015</v>
      </c>
      <c r="N43" s="682">
        <f t="shared" si="168"/>
        <v>929.29999999999563</v>
      </c>
      <c r="O43" s="682">
        <f t="shared" si="168"/>
        <v>929.30000000004657</v>
      </c>
      <c r="P43" s="682">
        <f t="shared" si="168"/>
        <v>929.30000000000291</v>
      </c>
      <c r="Q43" s="682">
        <f t="shared" si="168"/>
        <v>929.30000000004657</v>
      </c>
      <c r="R43" s="682">
        <f t="shared" si="168"/>
        <v>929.30000000000291</v>
      </c>
      <c r="S43" s="682">
        <f t="shared" si="168"/>
        <v>929.30000000004657</v>
      </c>
      <c r="T43" s="682">
        <f t="shared" si="168"/>
        <v>929.29999999999563</v>
      </c>
      <c r="U43" s="682">
        <f t="shared" si="168"/>
        <v>929.29999999998836</v>
      </c>
      <c r="V43" s="682">
        <f t="shared" si="168"/>
        <v>929.30000000000291</v>
      </c>
      <c r="W43" s="682">
        <f t="shared" si="168"/>
        <v>929.30000000000291</v>
      </c>
      <c r="X43" s="682">
        <f t="shared" si="168"/>
        <v>929.29999999999563</v>
      </c>
      <c r="Y43" s="682">
        <f t="shared" si="168"/>
        <v>929.30000000004657</v>
      </c>
      <c r="Z43" s="682">
        <f t="shared" si="168"/>
        <v>929.29999999999563</v>
      </c>
      <c r="AA43" s="682">
        <f t="shared" si="168"/>
        <v>929.29999999998836</v>
      </c>
      <c r="AB43" s="682">
        <f t="shared" si="168"/>
        <v>929.30000000000291</v>
      </c>
      <c r="AC43" s="682">
        <f t="shared" si="168"/>
        <v>929.29999999993015</v>
      </c>
      <c r="AD43" s="682">
        <f t="shared" si="168"/>
        <v>929.29999999999563</v>
      </c>
      <c r="AE43" s="682">
        <f t="shared" si="168"/>
        <v>929.30000000004657</v>
      </c>
      <c r="AF43" s="682">
        <f t="shared" si="168"/>
        <v>929.29999999999563</v>
      </c>
      <c r="AG43" s="682">
        <f t="shared" si="168"/>
        <v>929.29999999993015</v>
      </c>
      <c r="AH43" s="682">
        <f t="shared" si="168"/>
        <v>929.30000000000291</v>
      </c>
      <c r="AI43" s="682">
        <f t="shared" si="168"/>
        <v>929.29999999993015</v>
      </c>
      <c r="AJ43" s="682">
        <f t="shared" si="168"/>
        <v>929.30000000000291</v>
      </c>
      <c r="AK43" s="682">
        <f t="shared" si="168"/>
        <v>929.29999999993015</v>
      </c>
      <c r="AL43" s="682">
        <f t="shared" si="168"/>
        <v>929.29999999999563</v>
      </c>
      <c r="AM43" s="682">
        <f t="shared" si="168"/>
        <v>929.29999999999563</v>
      </c>
      <c r="AN43" s="682">
        <f t="shared" si="168"/>
        <v>929.29999999993015</v>
      </c>
      <c r="AO43" s="682">
        <f t="shared" si="168"/>
        <v>929.30000000000291</v>
      </c>
      <c r="AP43" s="682">
        <f t="shared" si="168"/>
        <v>929.30000000004657</v>
      </c>
      <c r="AQ43" s="682">
        <f t="shared" ref="AQ43" si="169">AQ42-AQ41</f>
        <v>929.29999999999563</v>
      </c>
      <c r="AR43" s="682">
        <f t="shared" ref="AR43" si="170">AR42-AR41</f>
        <v>929.30000000004657</v>
      </c>
      <c r="AS43" s="682">
        <f t="shared" ref="AS43" si="171">AS42-AS41</f>
        <v>929.29999999999563</v>
      </c>
      <c r="AT43" s="682">
        <f t="shared" ref="AT43" si="172">AT42-AT41</f>
        <v>929.30000000004657</v>
      </c>
      <c r="AU43" s="682">
        <f t="shared" ref="AU43" si="173">AU42-AU41</f>
        <v>929.30000000000291</v>
      </c>
      <c r="AV43" s="682">
        <f t="shared" ref="AV43" si="174">AV42-AV41</f>
        <v>929.30000000004657</v>
      </c>
      <c r="AW43" s="682">
        <f t="shared" ref="AW43" si="175">AW42-AW41</f>
        <v>929.29999999999563</v>
      </c>
      <c r="AX43" s="682">
        <f t="shared" ref="AX43" si="176">AX42-AX41</f>
        <v>929.29999999993015</v>
      </c>
      <c r="AY43" s="682">
        <f t="shared" ref="AY43" si="177">AY42-AY41</f>
        <v>929.29999999999563</v>
      </c>
      <c r="AZ43" s="682">
        <f t="shared" ref="AZ43" si="178">AZ42-AZ41</f>
        <v>929.29999999993015</v>
      </c>
      <c r="BA43" s="682">
        <f t="shared" ref="BA43" si="179">BA42-BA41</f>
        <v>929.30000000000291</v>
      </c>
      <c r="BB43" s="682">
        <f t="shared" ref="BB43" si="180">BB42-BB41</f>
        <v>929.29999999999563</v>
      </c>
      <c r="BC43" s="682">
        <f t="shared" ref="BC43" si="181">BC42-BC41</f>
        <v>929.30000000000291</v>
      </c>
      <c r="BD43" s="682">
        <f t="shared" ref="BD43" si="182">BD42-BD41</f>
        <v>929.30000000004657</v>
      </c>
      <c r="BE43" s="682">
        <f t="shared" ref="BE43" si="183">BE42-BE41</f>
        <v>929.29999999999563</v>
      </c>
      <c r="BF43" s="682">
        <f t="shared" ref="BF43" si="184">BF42-BF41</f>
        <v>929.30000000004657</v>
      </c>
      <c r="BG43" s="682">
        <f t="shared" ref="BG43" si="185">BG42-BG41</f>
        <v>929.29999999998836</v>
      </c>
      <c r="BH43" s="682">
        <f t="shared" ref="BH43" si="186">BH42-BH41</f>
        <v>929.29999999993015</v>
      </c>
      <c r="BI43" s="682">
        <f t="shared" ref="BI43" si="187">BI42-BI41</f>
        <v>929.29999999999563</v>
      </c>
      <c r="BJ43" s="682">
        <f t="shared" ref="BJ43" si="188">BJ42-BJ41</f>
        <v>929.30000000004657</v>
      </c>
      <c r="BK43" s="682">
        <f t="shared" ref="BK43" si="189">BK42-BK41</f>
        <v>929.29999999999563</v>
      </c>
      <c r="BL43" s="682">
        <f t="shared" ref="BL43" si="190">BL42-BL41</f>
        <v>929.29999999993015</v>
      </c>
      <c r="BM43" s="682">
        <f t="shared" ref="BM43" si="191">BM42-BM41</f>
        <v>929.29999999999563</v>
      </c>
      <c r="BN43" s="682">
        <f t="shared" ref="BN43" si="192">BN42-BN41</f>
        <v>929.29999999993015</v>
      </c>
      <c r="BO43" s="682">
        <f t="shared" ref="BO43" si="193">BO42-BO41</f>
        <v>929.29999999999563</v>
      </c>
      <c r="BP43" s="682">
        <f t="shared" ref="BP43" si="194">BP42-BP41</f>
        <v>929.30000000004657</v>
      </c>
      <c r="BQ43" s="682">
        <f t="shared" ref="BQ43" si="195">BQ42-BQ41</f>
        <v>929.30000000000291</v>
      </c>
      <c r="BR43" s="682">
        <f t="shared" ref="BR43" si="196">BR42-BR41</f>
        <v>929.29999999998836</v>
      </c>
      <c r="BS43" s="682">
        <f t="shared" ref="BS43" si="197">BS42-BS41</f>
        <v>929.29999999999563</v>
      </c>
      <c r="BT43" s="682">
        <f t="shared" ref="BT43" si="198">BT42-BT41</f>
        <v>-13400.70000000007</v>
      </c>
      <c r="BU43" s="682">
        <f t="shared" ref="BU43" si="199">BU42-BU41</f>
        <v>929.29999999999563</v>
      </c>
      <c r="BV43" s="682">
        <f t="shared" ref="BV43" si="200">BV42-BV41</f>
        <v>-13400.70000000007</v>
      </c>
      <c r="BW43" s="682">
        <f t="shared" ref="BW43" si="201">BW42-BW41</f>
        <v>929.29999999999563</v>
      </c>
      <c r="BX43" s="682">
        <f t="shared" ref="BX43" si="202">BX42-BX41</f>
        <v>-13400.70000000007</v>
      </c>
      <c r="BY43" s="682">
        <f t="shared" ref="BY43" si="203">BY42-BY41</f>
        <v>929.29999999999563</v>
      </c>
      <c r="BZ43" s="682">
        <f t="shared" ref="BZ43" si="204">BZ42-BZ41</f>
        <v>-13400.70000000007</v>
      </c>
      <c r="CA43" s="682">
        <f t="shared" ref="CA43" si="205">CA42-CA41</f>
        <v>929.29999999999563</v>
      </c>
      <c r="CB43" s="682">
        <f t="shared" ref="CB43" si="206">CB42-CB41</f>
        <v>-13400.70000000007</v>
      </c>
      <c r="CC43" s="682">
        <f t="shared" ref="CC43" si="207">CC42-CC41</f>
        <v>929.29999999999563</v>
      </c>
      <c r="CD43" s="682">
        <f t="shared" ref="CD43" si="208">CD42-CD41</f>
        <v>-13400.70000000007</v>
      </c>
      <c r="CE43" s="682">
        <f t="shared" ref="CE43" si="209">CE42-CE41</f>
        <v>929.29999999999563</v>
      </c>
      <c r="CF43" s="682">
        <f t="shared" ref="CF43" si="210">CF42-CF41</f>
        <v>-13400.70000000007</v>
      </c>
      <c r="CG43" s="682">
        <f t="shared" ref="CG43" si="211">CG42-CG41</f>
        <v>929.29999999999563</v>
      </c>
      <c r="CH43" s="682">
        <f t="shared" ref="CH43" si="212">CH42-CH41</f>
        <v>929.29999999999563</v>
      </c>
      <c r="CI43" s="682">
        <f t="shared" ref="CI43" si="213">CI42-CI41</f>
        <v>929.29999999999563</v>
      </c>
    </row>
    <row r="44" spans="1:87" s="680" customFormat="1" ht="18.75" x14ac:dyDescent="0.3">
      <c r="C44" s="679"/>
      <c r="D44" s="679"/>
      <c r="E44" s="679"/>
      <c r="J44" s="683" t="s">
        <v>714</v>
      </c>
      <c r="K44" s="684">
        <f>K43</f>
        <v>-18178</v>
      </c>
      <c r="L44" s="684">
        <f>K44+L43</f>
        <v>-17248.699999999997</v>
      </c>
      <c r="M44" s="684">
        <f t="shared" ref="M44:AP44" si="214">L44+M43</f>
        <v>-16319.400000000067</v>
      </c>
      <c r="N44" s="684">
        <f t="shared" si="214"/>
        <v>-15390.100000000071</v>
      </c>
      <c r="O44" s="684">
        <f t="shared" si="214"/>
        <v>-14460.800000000025</v>
      </c>
      <c r="P44" s="684">
        <f t="shared" si="214"/>
        <v>-13531.500000000022</v>
      </c>
      <c r="Q44" s="684">
        <f t="shared" si="214"/>
        <v>-12602.199999999975</v>
      </c>
      <c r="R44" s="684">
        <f t="shared" si="214"/>
        <v>-11672.899999999972</v>
      </c>
      <c r="S44" s="684">
        <f t="shared" si="214"/>
        <v>-10743.599999999926</v>
      </c>
      <c r="T44" s="684">
        <f t="shared" si="214"/>
        <v>-9814.2999999999302</v>
      </c>
      <c r="U44" s="684">
        <f t="shared" si="214"/>
        <v>-8884.9999999999418</v>
      </c>
      <c r="V44" s="684">
        <f t="shared" si="214"/>
        <v>-7955.6999999999389</v>
      </c>
      <c r="W44" s="684">
        <f t="shared" si="214"/>
        <v>-7026.399999999936</v>
      </c>
      <c r="X44" s="684">
        <f t="shared" si="214"/>
        <v>-6097.0999999999403</v>
      </c>
      <c r="Y44" s="684">
        <f t="shared" si="214"/>
        <v>-5167.7999999998938</v>
      </c>
      <c r="Z44" s="684">
        <f t="shared" si="214"/>
        <v>-4238.4999999998981</v>
      </c>
      <c r="AA44" s="684">
        <f t="shared" si="214"/>
        <v>-3309.1999999999098</v>
      </c>
      <c r="AB44" s="684">
        <f t="shared" si="214"/>
        <v>-2379.8999999999069</v>
      </c>
      <c r="AC44" s="684">
        <f t="shared" si="214"/>
        <v>-1450.5999999999767</v>
      </c>
      <c r="AD44" s="684">
        <f t="shared" si="214"/>
        <v>-521.29999999998108</v>
      </c>
      <c r="AE44" s="684">
        <f t="shared" si="214"/>
        <v>408.00000000006548</v>
      </c>
      <c r="AF44" s="684">
        <f t="shared" si="214"/>
        <v>1337.3000000000611</v>
      </c>
      <c r="AG44" s="684">
        <f t="shared" si="214"/>
        <v>2266.5999999999913</v>
      </c>
      <c r="AH44" s="684">
        <f t="shared" si="214"/>
        <v>3195.8999999999942</v>
      </c>
      <c r="AI44" s="684">
        <f t="shared" si="214"/>
        <v>4125.1999999999243</v>
      </c>
      <c r="AJ44" s="684">
        <f t="shared" si="214"/>
        <v>5054.4999999999272</v>
      </c>
      <c r="AK44" s="684">
        <f t="shared" si="214"/>
        <v>5983.7999999998574</v>
      </c>
      <c r="AL44" s="684">
        <f t="shared" si="214"/>
        <v>6913.099999999853</v>
      </c>
      <c r="AM44" s="684">
        <f t="shared" si="214"/>
        <v>7842.3999999998487</v>
      </c>
      <c r="AN44" s="684">
        <f t="shared" si="214"/>
        <v>8771.6999999997788</v>
      </c>
      <c r="AO44" s="684">
        <f t="shared" si="214"/>
        <v>9700.9999999997817</v>
      </c>
      <c r="AP44" s="684">
        <f t="shared" si="214"/>
        <v>10630.299999999828</v>
      </c>
      <c r="AQ44" s="684">
        <f t="shared" ref="AQ44" si="215">AP44+AQ43</f>
        <v>11559.599999999824</v>
      </c>
      <c r="AR44" s="684">
        <f t="shared" ref="AR44" si="216">AQ44+AR43</f>
        <v>12488.89999999987</v>
      </c>
      <c r="AS44" s="684">
        <f t="shared" ref="AS44" si="217">AR44+AS43</f>
        <v>13418.199999999866</v>
      </c>
      <c r="AT44" s="684">
        <f t="shared" ref="AT44" si="218">AS44+AT43</f>
        <v>14347.499999999913</v>
      </c>
      <c r="AU44" s="684">
        <f t="shared" ref="AU44" si="219">AT44+AU43</f>
        <v>15276.799999999916</v>
      </c>
      <c r="AV44" s="684">
        <f t="shared" ref="AV44" si="220">AU44+AV43</f>
        <v>16206.099999999962</v>
      </c>
      <c r="AW44" s="684">
        <f t="shared" ref="AW44" si="221">AV44+AW43</f>
        <v>17135.399999999958</v>
      </c>
      <c r="AX44" s="684">
        <f t="shared" ref="AX44" si="222">AW44+AX43</f>
        <v>18064.699999999888</v>
      </c>
      <c r="AY44" s="684">
        <f t="shared" ref="AY44" si="223">AX44+AY43</f>
        <v>18993.999999999884</v>
      </c>
      <c r="AZ44" s="684">
        <f t="shared" ref="AZ44" si="224">AY44+AZ43</f>
        <v>19923.299999999814</v>
      </c>
      <c r="BA44" s="684">
        <f t="shared" ref="BA44" si="225">AZ44+BA43</f>
        <v>20852.599999999817</v>
      </c>
      <c r="BB44" s="684">
        <f t="shared" ref="BB44" si="226">BA44+BB43</f>
        <v>21781.899999999812</v>
      </c>
      <c r="BC44" s="684">
        <f t="shared" ref="BC44" si="227">BB44+BC43</f>
        <v>22711.199999999815</v>
      </c>
      <c r="BD44" s="684">
        <f t="shared" ref="BD44" si="228">BC44+BD43</f>
        <v>23640.499999999862</v>
      </c>
      <c r="BE44" s="684">
        <f t="shared" ref="BE44" si="229">BD44+BE43</f>
        <v>24569.799999999857</v>
      </c>
      <c r="BF44" s="684">
        <f t="shared" ref="BF44" si="230">BE44+BF43</f>
        <v>25499.099999999904</v>
      </c>
      <c r="BG44" s="684">
        <f t="shared" ref="BG44" si="231">BF44+BG43</f>
        <v>26428.399999999892</v>
      </c>
      <c r="BH44" s="684">
        <f t="shared" ref="BH44" si="232">BG44+BH43</f>
        <v>27357.699999999822</v>
      </c>
      <c r="BI44" s="684">
        <f t="shared" ref="BI44" si="233">BH44+BI43</f>
        <v>28286.999999999818</v>
      </c>
      <c r="BJ44" s="684">
        <f t="shared" ref="BJ44" si="234">BI44+BJ43</f>
        <v>29216.299999999865</v>
      </c>
      <c r="BK44" s="684">
        <f t="shared" ref="BK44" si="235">BJ44+BK43</f>
        <v>30145.59999999986</v>
      </c>
      <c r="BL44" s="684">
        <f t="shared" ref="BL44" si="236">BK44+BL43</f>
        <v>31074.89999999979</v>
      </c>
      <c r="BM44" s="684">
        <f t="shared" ref="BM44" si="237">BL44+BM43</f>
        <v>32004.199999999786</v>
      </c>
      <c r="BN44" s="684">
        <f t="shared" ref="BN44" si="238">BM44+BN43</f>
        <v>32933.499999999716</v>
      </c>
      <c r="BO44" s="684">
        <f t="shared" ref="BO44" si="239">BN44+BO43</f>
        <v>33862.799999999712</v>
      </c>
      <c r="BP44" s="684">
        <f t="shared" ref="BP44" si="240">BO44+BP43</f>
        <v>34792.099999999758</v>
      </c>
      <c r="BQ44" s="684">
        <f t="shared" ref="BQ44" si="241">BP44+BQ43</f>
        <v>35721.399999999761</v>
      </c>
      <c r="BR44" s="684">
        <f t="shared" ref="BR44" si="242">BQ44+BR43</f>
        <v>36650.69999999975</v>
      </c>
      <c r="BS44" s="684">
        <f t="shared" ref="BS44" si="243">BR44+BS43</f>
        <v>37579.999999999745</v>
      </c>
      <c r="BT44" s="684">
        <f t="shared" ref="BT44" si="244">BS44+BT43</f>
        <v>24179.299999999675</v>
      </c>
      <c r="BU44" s="684">
        <f t="shared" ref="BU44" si="245">BT44+BU43</f>
        <v>25108.599999999671</v>
      </c>
      <c r="BV44" s="684">
        <f t="shared" ref="BV44" si="246">BU44+BV43</f>
        <v>11707.899999999601</v>
      </c>
      <c r="BW44" s="684">
        <f t="shared" ref="BW44" si="247">BV44+BW43</f>
        <v>12637.199999999597</v>
      </c>
      <c r="BX44" s="684">
        <f t="shared" ref="BX44" si="248">BW44+BX43</f>
        <v>-763.50000000047294</v>
      </c>
      <c r="BY44" s="684">
        <f t="shared" ref="BY44" si="249">BX44+BY43</f>
        <v>165.7999999995227</v>
      </c>
      <c r="BZ44" s="684">
        <f t="shared" ref="BZ44" si="250">BY44+BZ43</f>
        <v>-13234.900000000547</v>
      </c>
      <c r="CA44" s="684">
        <f t="shared" ref="CA44" si="251">BZ44+CA43</f>
        <v>-12305.600000000552</v>
      </c>
      <c r="CB44" s="684">
        <f t="shared" ref="CB44" si="252">CA44+CB43</f>
        <v>-25706.300000000621</v>
      </c>
      <c r="CC44" s="684">
        <f t="shared" ref="CC44" si="253">CB44+CC43</f>
        <v>-24777.000000000626</v>
      </c>
      <c r="CD44" s="684">
        <f t="shared" ref="CD44" si="254">CC44+CD43</f>
        <v>-38177.700000000696</v>
      </c>
      <c r="CE44" s="684">
        <f t="shared" ref="CE44" si="255">CD44+CE43</f>
        <v>-37248.4000000007</v>
      </c>
      <c r="CF44" s="684">
        <f t="shared" ref="CF44" si="256">CE44+CF43</f>
        <v>-50649.10000000077</v>
      </c>
      <c r="CG44" s="684">
        <f t="shared" ref="CG44" si="257">CF44+CG43</f>
        <v>-49719.800000000774</v>
      </c>
      <c r="CH44" s="684">
        <f t="shared" ref="CH44" si="258">CG44+CH43</f>
        <v>-48790.500000000779</v>
      </c>
      <c r="CI44" s="684">
        <f t="shared" ref="CI44" si="259">CH44+CI43</f>
        <v>-47861.200000000783</v>
      </c>
    </row>
  </sheetData>
  <conditionalFormatting sqref="K43:BC44">
    <cfRule type="cellIs" dxfId="328" priority="5" operator="lessThan">
      <formula>0</formula>
    </cfRule>
    <cfRule type="cellIs" dxfId="327" priority="6" operator="greaterThan">
      <formula>0</formula>
    </cfRule>
  </conditionalFormatting>
  <conditionalFormatting sqref="BD43:BS44">
    <cfRule type="cellIs" dxfId="326" priority="3" operator="lessThan">
      <formula>0</formula>
    </cfRule>
    <cfRule type="cellIs" dxfId="325" priority="4" operator="greaterThan">
      <formula>0</formula>
    </cfRule>
  </conditionalFormatting>
  <conditionalFormatting sqref="BT43:CI44">
    <cfRule type="cellIs" dxfId="324" priority="1" operator="lessThan">
      <formula>0</formula>
    </cfRule>
    <cfRule type="cellIs" dxfId="323" priority="2" operator="greaterThan">
      <formula>0</formula>
    </cfRule>
  </conditionalFormatting>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AK39"/>
  <sheetViews>
    <sheetView workbookViewId="0">
      <pane xSplit="1" ySplit="15" topLeftCell="B16" activePane="bottomRight" state="frozen"/>
      <selection pane="topRight" activeCell="B1" sqref="B1"/>
      <selection pane="bottomLeft" activeCell="A16" sqref="A16"/>
      <selection pane="bottomRight" activeCell="B18" sqref="B18"/>
    </sheetView>
  </sheetViews>
  <sheetFormatPr baseColWidth="10" defaultColWidth="11.42578125" defaultRowHeight="15" x14ac:dyDescent="0.25"/>
  <cols>
    <col min="1" max="1" width="28.28515625" bestFit="1" customWidth="1"/>
    <col min="2" max="4" width="12.42578125" bestFit="1" customWidth="1"/>
    <col min="5" max="5" width="13" bestFit="1" customWidth="1"/>
    <col min="6" max="6" width="12.42578125" bestFit="1" customWidth="1"/>
    <col min="7" max="7" width="13.5703125" bestFit="1" customWidth="1"/>
    <col min="8" max="10" width="12.42578125" bestFit="1" customWidth="1"/>
    <col min="11" max="11" width="14.85546875" bestFit="1" customWidth="1"/>
    <col min="12" max="15" width="12.42578125" bestFit="1" customWidth="1"/>
    <col min="16" max="30" width="12.42578125" style="5" bestFit="1" customWidth="1"/>
    <col min="31" max="35" width="13" style="5" bestFit="1" customWidth="1"/>
    <col min="36" max="16384" width="11.42578125" style="5"/>
  </cols>
  <sheetData>
    <row r="1" spans="1:35" ht="30.75" x14ac:dyDescent="0.25">
      <c r="M1" s="130" t="s">
        <v>691</v>
      </c>
      <c r="N1" s="130" t="s">
        <v>38</v>
      </c>
      <c r="O1" s="130" t="s">
        <v>39</v>
      </c>
      <c r="P1" s="130" t="s">
        <v>40</v>
      </c>
      <c r="Q1" s="130" t="s">
        <v>41</v>
      </c>
      <c r="R1" s="130" t="s">
        <v>692</v>
      </c>
      <c r="S1" s="130" t="s">
        <v>693</v>
      </c>
      <c r="U1" s="379" t="s">
        <v>1497</v>
      </c>
    </row>
    <row r="2" spans="1:35" x14ac:dyDescent="0.25">
      <c r="C2" s="33" t="s">
        <v>695</v>
      </c>
      <c r="D2" s="771" t="s">
        <v>696</v>
      </c>
      <c r="E2" s="771"/>
      <c r="F2" s="772" t="s">
        <v>700</v>
      </c>
      <c r="G2" s="772"/>
      <c r="H2" s="773" t="s">
        <v>710</v>
      </c>
      <c r="I2" s="773"/>
      <c r="K2" s="321"/>
      <c r="M2" s="131">
        <v>11</v>
      </c>
      <c r="N2" s="12">
        <v>14.98</v>
      </c>
      <c r="O2" s="12">
        <v>5.95</v>
      </c>
      <c r="P2" s="385">
        <f>U2*0.97</f>
        <v>5.3253000000000004</v>
      </c>
      <c r="Q2" s="12">
        <v>0.68</v>
      </c>
      <c r="R2" s="114">
        <v>27.09</v>
      </c>
      <c r="U2" s="12">
        <v>5.49</v>
      </c>
    </row>
    <row r="3" spans="1:35" ht="15.75" thickBot="1" x14ac:dyDescent="0.3">
      <c r="A3" s="37" t="s">
        <v>31</v>
      </c>
      <c r="B3" s="134">
        <f>B4+B5+B6+B7</f>
        <v>60965</v>
      </c>
      <c r="C3" s="554">
        <f>C4+C5+C6+C7</f>
        <v>66250</v>
      </c>
      <c r="D3" s="11" t="s">
        <v>697</v>
      </c>
      <c r="E3" s="11" t="s">
        <v>37</v>
      </c>
      <c r="F3" s="11" t="s">
        <v>697</v>
      </c>
      <c r="G3" s="11" t="s">
        <v>701</v>
      </c>
      <c r="H3" s="11" t="s">
        <v>697</v>
      </c>
      <c r="I3" s="177" t="s">
        <v>711</v>
      </c>
      <c r="J3" s="34" t="s">
        <v>860</v>
      </c>
      <c r="K3" s="11" t="s">
        <v>2437</v>
      </c>
      <c r="M3" s="131">
        <v>10</v>
      </c>
      <c r="N3" s="13">
        <v>14.23</v>
      </c>
      <c r="O3" s="13">
        <v>5.59</v>
      </c>
      <c r="P3" s="385">
        <f t="shared" ref="P3:P12" si="0">U3*0.97</f>
        <v>4.9179000000000004</v>
      </c>
      <c r="Q3" s="13">
        <v>0.62</v>
      </c>
      <c r="R3" s="115">
        <v>25.52</v>
      </c>
      <c r="U3" s="13">
        <v>5.07</v>
      </c>
    </row>
    <row r="4" spans="1:35" x14ac:dyDescent="0.25">
      <c r="A4" s="37" t="s">
        <v>32</v>
      </c>
      <c r="B4" s="134">
        <v>34888</v>
      </c>
      <c r="C4" s="498">
        <v>37800</v>
      </c>
      <c r="D4" s="137">
        <v>45</v>
      </c>
      <c r="E4" s="15">
        <f>D4*(C4-B4)</f>
        <v>131040</v>
      </c>
      <c r="F4" s="135">
        <v>0.5</v>
      </c>
      <c r="G4" s="15">
        <f>(C4-B4)*F4</f>
        <v>1456</v>
      </c>
      <c r="H4" s="135">
        <v>7</v>
      </c>
      <c r="I4" s="555">
        <f>(C4-B4)*H4</f>
        <v>20384</v>
      </c>
      <c r="J4" s="15">
        <f>H4*C4</f>
        <v>264600</v>
      </c>
      <c r="K4" s="11">
        <f>B4*F4</f>
        <v>17444</v>
      </c>
      <c r="L4" s="63">
        <f>5000*N13*F4</f>
        <v>1382.4289405684756</v>
      </c>
      <c r="M4" s="131">
        <v>9</v>
      </c>
      <c r="N4" s="12">
        <v>13.49</v>
      </c>
      <c r="O4" s="12">
        <v>5.24</v>
      </c>
      <c r="P4" s="385">
        <f t="shared" si="0"/>
        <v>4.5202</v>
      </c>
      <c r="Q4" s="12">
        <v>0.56999999999999995</v>
      </c>
      <c r="R4" s="114">
        <v>23.95</v>
      </c>
      <c r="U4" s="12">
        <v>4.66</v>
      </c>
    </row>
    <row r="5" spans="1:35" x14ac:dyDescent="0.25">
      <c r="A5" s="37" t="s">
        <v>33</v>
      </c>
      <c r="B5" s="134">
        <v>13391</v>
      </c>
      <c r="C5" s="146">
        <v>15000</v>
      </c>
      <c r="D5" s="138">
        <v>75</v>
      </c>
      <c r="E5" s="15">
        <f>D5*(C5-B5)</f>
        <v>120675</v>
      </c>
      <c r="F5" s="136">
        <v>0.7</v>
      </c>
      <c r="G5" s="15">
        <f>(C5-B5)*F5</f>
        <v>1126.3</v>
      </c>
      <c r="H5" s="136">
        <v>10</v>
      </c>
      <c r="I5" s="555">
        <f>(C5-B5)*H5</f>
        <v>16090</v>
      </c>
      <c r="J5" s="15">
        <f>H5*C5</f>
        <v>150000</v>
      </c>
      <c r="K5" s="11">
        <f t="shared" ref="K5:K7" si="1">B5*F5</f>
        <v>9373.6999999999989</v>
      </c>
      <c r="L5" s="63">
        <f>5000*O13*F5</f>
        <v>768.73385012919903</v>
      </c>
      <c r="M5" s="131">
        <v>8</v>
      </c>
      <c r="N5" s="13">
        <v>12.74</v>
      </c>
      <c r="O5" s="13">
        <v>4.8899999999999997</v>
      </c>
      <c r="P5" s="385">
        <f t="shared" si="0"/>
        <v>4.1224999999999996</v>
      </c>
      <c r="Q5" s="13">
        <v>0.51</v>
      </c>
      <c r="R5" s="115">
        <v>22.39</v>
      </c>
      <c r="U5" s="13">
        <v>4.25</v>
      </c>
    </row>
    <row r="6" spans="1:35" x14ac:dyDescent="0.25">
      <c r="A6" s="37" t="s">
        <v>34</v>
      </c>
      <c r="B6" s="134">
        <v>11289</v>
      </c>
      <c r="C6" s="146">
        <v>12000</v>
      </c>
      <c r="D6" s="137">
        <v>90</v>
      </c>
      <c r="E6" s="15">
        <f>D6*(C6-B6)</f>
        <v>63990</v>
      </c>
      <c r="F6" s="135">
        <v>1</v>
      </c>
      <c r="G6" s="15">
        <f>(C6-B6)*F6</f>
        <v>711</v>
      </c>
      <c r="H6" s="135">
        <v>19</v>
      </c>
      <c r="I6" s="555">
        <f>(C6-B6)*H6</f>
        <v>13509</v>
      </c>
      <c r="J6" s="15">
        <f>H6*C6</f>
        <v>228000</v>
      </c>
      <c r="K6" s="11">
        <f t="shared" si="1"/>
        <v>11289</v>
      </c>
      <c r="L6" s="63">
        <f>5000*P13*F6</f>
        <v>982.89036544850512</v>
      </c>
      <c r="M6" s="131">
        <v>7</v>
      </c>
      <c r="N6" s="12">
        <v>12</v>
      </c>
      <c r="O6" s="12">
        <v>4.53</v>
      </c>
      <c r="P6" s="385">
        <f t="shared" si="0"/>
        <v>3.7247999999999997</v>
      </c>
      <c r="Q6" s="12">
        <v>0.46</v>
      </c>
      <c r="R6" s="114">
        <v>20.83</v>
      </c>
      <c r="U6" s="12">
        <v>3.84</v>
      </c>
    </row>
    <row r="7" spans="1:35" ht="15.75" thickBot="1" x14ac:dyDescent="0.3">
      <c r="A7" s="37" t="s">
        <v>35</v>
      </c>
      <c r="B7" s="134">
        <v>1397</v>
      </c>
      <c r="C7" s="147">
        <v>1450</v>
      </c>
      <c r="D7" s="138">
        <v>300</v>
      </c>
      <c r="E7" s="15">
        <f>D7*(C7-B7)</f>
        <v>15900</v>
      </c>
      <c r="F7" s="136">
        <v>2.5</v>
      </c>
      <c r="G7" s="15">
        <f>(C7-B7)*F7</f>
        <v>132.5</v>
      </c>
      <c r="H7" s="136">
        <v>35</v>
      </c>
      <c r="I7" s="555">
        <f>(C7-B7)*H7</f>
        <v>1855</v>
      </c>
      <c r="J7" s="15">
        <f>H7*C7</f>
        <v>50750</v>
      </c>
      <c r="K7" s="11">
        <f t="shared" si="1"/>
        <v>3492.5</v>
      </c>
      <c r="L7" s="63">
        <f>5000*Q13*F7</f>
        <v>313.76891842008126</v>
      </c>
      <c r="M7" s="131">
        <v>6</v>
      </c>
      <c r="N7" s="13">
        <v>11.26</v>
      </c>
      <c r="O7" s="13">
        <v>4.17</v>
      </c>
      <c r="P7" s="385">
        <f t="shared" si="0"/>
        <v>3.3367999999999998</v>
      </c>
      <c r="Q7" s="13">
        <v>0.41</v>
      </c>
      <c r="R7" s="115">
        <v>19.27</v>
      </c>
      <c r="U7" s="13">
        <v>3.44</v>
      </c>
    </row>
    <row r="8" spans="1:35" x14ac:dyDescent="0.25">
      <c r="C8" s="145">
        <f>C4/$C$3</f>
        <v>0.57056603773584902</v>
      </c>
      <c r="J8" s="15">
        <f>J7+J6+J5+J4</f>
        <v>693350</v>
      </c>
      <c r="K8" s="11">
        <f>K7+K6+K5+K4</f>
        <v>41599.199999999997</v>
      </c>
      <c r="L8" s="11">
        <f>L7+L6+L5+L4</f>
        <v>3447.8220745662611</v>
      </c>
      <c r="M8" s="131">
        <v>5</v>
      </c>
      <c r="N8" s="12">
        <v>10.52</v>
      </c>
      <c r="O8" s="12">
        <v>3.81</v>
      </c>
      <c r="P8" s="385">
        <f t="shared" si="0"/>
        <v>2.9390999999999998</v>
      </c>
      <c r="Q8" s="12">
        <v>0.35</v>
      </c>
      <c r="R8" s="114">
        <v>17.72</v>
      </c>
      <c r="U8" s="12">
        <v>3.03</v>
      </c>
    </row>
    <row r="9" spans="1:35" x14ac:dyDescent="0.25">
      <c r="C9" s="139">
        <f>C5/$C$3</f>
        <v>0.22641509433962265</v>
      </c>
      <c r="E9" s="10">
        <f>C4-B4</f>
        <v>2912</v>
      </c>
      <c r="M9" s="131">
        <v>4</v>
      </c>
      <c r="N9" s="13">
        <v>9.8000000000000007</v>
      </c>
      <c r="O9" s="13">
        <v>3.46</v>
      </c>
      <c r="P9" s="385">
        <f t="shared" si="0"/>
        <v>2.5510999999999999</v>
      </c>
      <c r="Q9" s="13">
        <v>0.3</v>
      </c>
      <c r="R9" s="115">
        <v>16.170000000000002</v>
      </c>
      <c r="U9" s="13">
        <v>2.63</v>
      </c>
    </row>
    <row r="10" spans="1:35" x14ac:dyDescent="0.25">
      <c r="B10" s="140">
        <f>B11/B13</f>
        <v>2.9273576206437259E-2</v>
      </c>
      <c r="C10" s="139">
        <f>C6/$C$3</f>
        <v>0.1811320754716981</v>
      </c>
      <c r="E10" s="10">
        <f>C5-B5</f>
        <v>1609</v>
      </c>
      <c r="M10" s="131">
        <v>3</v>
      </c>
      <c r="N10" s="12">
        <v>9.09</v>
      </c>
      <c r="O10" s="12">
        <v>3.1</v>
      </c>
      <c r="P10" s="385">
        <f t="shared" si="0"/>
        <v>2.1436999999999999</v>
      </c>
      <c r="Q10" s="12">
        <v>0.24</v>
      </c>
      <c r="R10" s="114">
        <v>14.63</v>
      </c>
      <c r="U10" s="12">
        <v>2.21</v>
      </c>
    </row>
    <row r="11" spans="1:35" x14ac:dyDescent="0.25">
      <c r="A11" s="116" t="s">
        <v>698</v>
      </c>
      <c r="B11" s="141">
        <v>10000</v>
      </c>
      <c r="C11" s="139">
        <f>C7/$C$3</f>
        <v>2.1886792452830189E-2</v>
      </c>
      <c r="E11" s="10">
        <f>C6-B6</f>
        <v>711</v>
      </c>
      <c r="M11" s="131">
        <v>2</v>
      </c>
      <c r="N11" s="13">
        <v>8.42</v>
      </c>
      <c r="O11" s="13">
        <v>2.73</v>
      </c>
      <c r="P11" s="385">
        <f t="shared" si="0"/>
        <v>1.7168999999999999</v>
      </c>
      <c r="Q11" s="13">
        <v>0.18</v>
      </c>
      <c r="R11" s="115">
        <v>13.09</v>
      </c>
      <c r="U11" s="13">
        <v>1.77</v>
      </c>
    </row>
    <row r="12" spans="1:35" ht="15.75" thickBot="1" x14ac:dyDescent="0.3">
      <c r="A12" s="116" t="s">
        <v>699</v>
      </c>
      <c r="B12" s="142">
        <f>E7+E6+E5+E4</f>
        <v>331605</v>
      </c>
      <c r="E12" s="10">
        <f>C7-B7</f>
        <v>53</v>
      </c>
      <c r="M12" s="131">
        <v>1</v>
      </c>
      <c r="N12" s="12">
        <v>7.85</v>
      </c>
      <c r="O12" s="12">
        <v>2.34</v>
      </c>
      <c r="P12" s="385">
        <f t="shared" si="0"/>
        <v>1.1931</v>
      </c>
      <c r="Q12" s="12">
        <v>0.1</v>
      </c>
      <c r="R12" s="114">
        <v>11.53</v>
      </c>
      <c r="U12" s="12">
        <v>1.23</v>
      </c>
    </row>
    <row r="13" spans="1:35" ht="15.75" thickBot="1" x14ac:dyDescent="0.3">
      <c r="A13" s="132" t="s">
        <v>291</v>
      </c>
      <c r="B13" s="157">
        <f>B11+B12</f>
        <v>341605</v>
      </c>
      <c r="N13">
        <f>N2/R2</f>
        <v>0.55297157622739024</v>
      </c>
      <c r="O13">
        <f>O2/R2</f>
        <v>0.21963824289405687</v>
      </c>
      <c r="P13" s="643">
        <f>P2/R2</f>
        <v>0.19657807308970102</v>
      </c>
      <c r="Q13" s="5">
        <f>Q2/R2</f>
        <v>2.51015134736065E-2</v>
      </c>
    </row>
    <row r="15" spans="1:35" x14ac:dyDescent="0.25">
      <c r="A15" s="118"/>
      <c r="B15" s="128" t="s">
        <v>16</v>
      </c>
      <c r="C15" s="128" t="s">
        <v>715</v>
      </c>
      <c r="D15" s="128" t="s">
        <v>702</v>
      </c>
      <c r="E15" s="128" t="s">
        <v>703</v>
      </c>
      <c r="F15" s="128" t="s">
        <v>704</v>
      </c>
      <c r="G15" s="128" t="s">
        <v>705</v>
      </c>
      <c r="H15" s="128" t="s">
        <v>21</v>
      </c>
      <c r="I15" s="128" t="s">
        <v>22</v>
      </c>
      <c r="J15" s="128" t="s">
        <v>23</v>
      </c>
      <c r="K15" s="128" t="s">
        <v>17</v>
      </c>
      <c r="L15" s="128" t="s">
        <v>18</v>
      </c>
      <c r="M15" s="128" t="s">
        <v>24</v>
      </c>
      <c r="N15" s="128" t="s">
        <v>25</v>
      </c>
      <c r="O15" s="128" t="s">
        <v>26</v>
      </c>
      <c r="P15" s="128" t="s">
        <v>27</v>
      </c>
      <c r="Q15" s="128" t="s">
        <v>28</v>
      </c>
      <c r="R15" s="128" t="s">
        <v>16</v>
      </c>
      <c r="S15" s="128" t="s">
        <v>715</v>
      </c>
      <c r="T15" s="128" t="s">
        <v>702</v>
      </c>
      <c r="U15" s="128" t="s">
        <v>703</v>
      </c>
      <c r="V15" s="128" t="s">
        <v>704</v>
      </c>
      <c r="W15" s="128" t="s">
        <v>705</v>
      </c>
      <c r="X15" s="128" t="s">
        <v>21</v>
      </c>
      <c r="Y15" s="128" t="s">
        <v>22</v>
      </c>
      <c r="Z15" s="128" t="s">
        <v>23</v>
      </c>
      <c r="AA15" s="128" t="s">
        <v>17</v>
      </c>
      <c r="AB15" s="128" t="s">
        <v>18</v>
      </c>
      <c r="AC15" s="128" t="s">
        <v>24</v>
      </c>
      <c r="AD15" s="128" t="s">
        <v>25</v>
      </c>
      <c r="AE15" s="128" t="s">
        <v>26</v>
      </c>
      <c r="AF15" s="128" t="s">
        <v>27</v>
      </c>
      <c r="AG15" s="128" t="s">
        <v>28</v>
      </c>
      <c r="AH15" s="128"/>
      <c r="AI15" s="128"/>
    </row>
    <row r="16" spans="1:35" x14ac:dyDescent="0.25">
      <c r="A16" s="119" t="s">
        <v>694</v>
      </c>
      <c r="B16" s="133">
        <v>2610</v>
      </c>
      <c r="C16" s="133">
        <f>B16+2</f>
        <v>2612</v>
      </c>
      <c r="D16" s="133">
        <f t="shared" ref="D16:AD16" si="2">C16+2</f>
        <v>2614</v>
      </c>
      <c r="E16" s="133">
        <f t="shared" si="2"/>
        <v>2616</v>
      </c>
      <c r="F16" s="133">
        <f t="shared" si="2"/>
        <v>2618</v>
      </c>
      <c r="G16" s="133">
        <f t="shared" si="2"/>
        <v>2620</v>
      </c>
      <c r="H16" s="133">
        <f t="shared" si="2"/>
        <v>2622</v>
      </c>
      <c r="I16" s="133">
        <f t="shared" si="2"/>
        <v>2624</v>
      </c>
      <c r="J16" s="133">
        <f t="shared" si="2"/>
        <v>2626</v>
      </c>
      <c r="K16" s="133">
        <f t="shared" si="2"/>
        <v>2628</v>
      </c>
      <c r="L16" s="133">
        <f t="shared" si="2"/>
        <v>2630</v>
      </c>
      <c r="M16" s="133">
        <f t="shared" si="2"/>
        <v>2632</v>
      </c>
      <c r="N16" s="133">
        <f t="shared" si="2"/>
        <v>2634</v>
      </c>
      <c r="O16" s="133">
        <f t="shared" si="2"/>
        <v>2636</v>
      </c>
      <c r="P16" s="133">
        <f t="shared" si="2"/>
        <v>2638</v>
      </c>
      <c r="Q16" s="133">
        <f t="shared" si="2"/>
        <v>2640</v>
      </c>
      <c r="R16" s="133">
        <f t="shared" si="2"/>
        <v>2642</v>
      </c>
      <c r="S16" s="133">
        <f t="shared" si="2"/>
        <v>2644</v>
      </c>
      <c r="T16" s="133">
        <f t="shared" si="2"/>
        <v>2646</v>
      </c>
      <c r="U16" s="133">
        <f t="shared" si="2"/>
        <v>2648</v>
      </c>
      <c r="V16" s="133">
        <f t="shared" si="2"/>
        <v>2650</v>
      </c>
      <c r="W16" s="133">
        <f t="shared" si="2"/>
        <v>2652</v>
      </c>
      <c r="X16" s="133">
        <f t="shared" si="2"/>
        <v>2654</v>
      </c>
      <c r="Y16" s="133">
        <f t="shared" si="2"/>
        <v>2656</v>
      </c>
      <c r="Z16" s="133">
        <f t="shared" si="2"/>
        <v>2658</v>
      </c>
      <c r="AA16" s="133">
        <f t="shared" si="2"/>
        <v>2660</v>
      </c>
      <c r="AB16" s="133">
        <f t="shared" si="2"/>
        <v>2662</v>
      </c>
      <c r="AC16" s="133">
        <f t="shared" si="2"/>
        <v>2664</v>
      </c>
      <c r="AD16" s="133">
        <f t="shared" si="2"/>
        <v>2666</v>
      </c>
      <c r="AE16" s="133"/>
      <c r="AF16" s="119"/>
      <c r="AG16" s="119"/>
      <c r="AH16" s="119"/>
      <c r="AI16" s="119"/>
    </row>
    <row r="17" spans="1:37" x14ac:dyDescent="0.25">
      <c r="A17" s="119"/>
      <c r="B17" s="133">
        <f>B18+B19+B20+B21</f>
        <v>58105.125</v>
      </c>
      <c r="C17" s="133">
        <f>C18+C19+C20+C21</f>
        <v>58149.65</v>
      </c>
      <c r="D17" s="133">
        <f t="shared" ref="D17:AD17" si="3">D18+D19+D20+D21</f>
        <v>58194.174999999996</v>
      </c>
      <c r="E17" s="133">
        <f t="shared" si="3"/>
        <v>58238.700000000004</v>
      </c>
      <c r="F17" s="133">
        <f t="shared" si="3"/>
        <v>58283.224999999999</v>
      </c>
      <c r="G17" s="133">
        <f t="shared" si="3"/>
        <v>58327.75</v>
      </c>
      <c r="H17" s="133">
        <f t="shared" si="3"/>
        <v>58372.275000000001</v>
      </c>
      <c r="I17" s="133">
        <f t="shared" si="3"/>
        <v>58416.799999999996</v>
      </c>
      <c r="J17" s="133">
        <f t="shared" si="3"/>
        <v>58461.324999999997</v>
      </c>
      <c r="K17" s="133">
        <f t="shared" si="3"/>
        <v>58505.85</v>
      </c>
      <c r="L17" s="133">
        <f t="shared" si="3"/>
        <v>58550.375</v>
      </c>
      <c r="M17" s="133">
        <f t="shared" si="3"/>
        <v>58594.9</v>
      </c>
      <c r="N17" s="133">
        <f t="shared" si="3"/>
        <v>58639.424999999996</v>
      </c>
      <c r="O17" s="133">
        <f t="shared" si="3"/>
        <v>58683.95</v>
      </c>
      <c r="P17" s="133">
        <f t="shared" si="3"/>
        <v>58728.474999999999</v>
      </c>
      <c r="Q17" s="133">
        <f t="shared" si="3"/>
        <v>58773</v>
      </c>
      <c r="R17" s="133">
        <f t="shared" si="3"/>
        <v>58817.524999999994</v>
      </c>
      <c r="S17" s="133">
        <f t="shared" si="3"/>
        <v>58862.05</v>
      </c>
      <c r="T17" s="133">
        <f t="shared" si="3"/>
        <v>58906.57499999999</v>
      </c>
      <c r="U17" s="133">
        <f t="shared" si="3"/>
        <v>58951.100000000006</v>
      </c>
      <c r="V17" s="133">
        <f t="shared" si="3"/>
        <v>58995.625</v>
      </c>
      <c r="W17" s="133">
        <f t="shared" si="3"/>
        <v>59040.15</v>
      </c>
      <c r="X17" s="133">
        <f t="shared" si="3"/>
        <v>59084.674999999996</v>
      </c>
      <c r="Y17" s="133">
        <f t="shared" si="3"/>
        <v>59129.2</v>
      </c>
      <c r="Z17" s="133">
        <f t="shared" si="3"/>
        <v>59173.724999999991</v>
      </c>
      <c r="AA17" s="133">
        <f t="shared" si="3"/>
        <v>59218.25</v>
      </c>
      <c r="AB17" s="133">
        <f t="shared" si="3"/>
        <v>59262.775000000001</v>
      </c>
      <c r="AC17" s="133">
        <f t="shared" si="3"/>
        <v>59307.299999999996</v>
      </c>
      <c r="AD17" s="133">
        <f t="shared" si="3"/>
        <v>59351.825000000004</v>
      </c>
      <c r="AE17" s="133"/>
      <c r="AF17" s="133"/>
      <c r="AG17" s="133"/>
      <c r="AH17" s="133"/>
      <c r="AI17" s="133"/>
    </row>
    <row r="18" spans="1:37" s="122" customFormat="1" x14ac:dyDescent="0.25">
      <c r="A18" s="124" t="s">
        <v>802</v>
      </c>
      <c r="B18" s="125">
        <f>B16*$N$5</f>
        <v>33251.4</v>
      </c>
      <c r="C18" s="125">
        <f t="shared" ref="C18:AD18" si="4">C16*$N$5</f>
        <v>33276.879999999997</v>
      </c>
      <c r="D18" s="125">
        <f t="shared" si="4"/>
        <v>33302.36</v>
      </c>
      <c r="E18" s="125">
        <f t="shared" si="4"/>
        <v>33327.840000000004</v>
      </c>
      <c r="F18" s="125">
        <f t="shared" si="4"/>
        <v>33353.32</v>
      </c>
      <c r="G18" s="125">
        <f t="shared" si="4"/>
        <v>33378.800000000003</v>
      </c>
      <c r="H18" s="125">
        <f t="shared" si="4"/>
        <v>33404.28</v>
      </c>
      <c r="I18" s="125">
        <f t="shared" si="4"/>
        <v>33429.760000000002</v>
      </c>
      <c r="J18" s="125">
        <f t="shared" si="4"/>
        <v>33455.24</v>
      </c>
      <c r="K18" s="125">
        <f t="shared" si="4"/>
        <v>33480.720000000001</v>
      </c>
      <c r="L18" s="125">
        <f t="shared" si="4"/>
        <v>33506.199999999997</v>
      </c>
      <c r="M18" s="125">
        <f t="shared" si="4"/>
        <v>33531.68</v>
      </c>
      <c r="N18" s="125">
        <f t="shared" si="4"/>
        <v>33557.160000000003</v>
      </c>
      <c r="O18" s="125">
        <f t="shared" si="4"/>
        <v>33582.639999999999</v>
      </c>
      <c r="P18" s="125">
        <f t="shared" si="4"/>
        <v>33608.120000000003</v>
      </c>
      <c r="Q18" s="125">
        <f t="shared" si="4"/>
        <v>33633.599999999999</v>
      </c>
      <c r="R18" s="125">
        <f t="shared" si="4"/>
        <v>33659.08</v>
      </c>
      <c r="S18" s="125">
        <f t="shared" si="4"/>
        <v>33684.559999999998</v>
      </c>
      <c r="T18" s="125">
        <f t="shared" si="4"/>
        <v>33710.04</v>
      </c>
      <c r="U18" s="125">
        <f t="shared" si="4"/>
        <v>33735.520000000004</v>
      </c>
      <c r="V18" s="125">
        <f t="shared" si="4"/>
        <v>33761</v>
      </c>
      <c r="W18" s="125">
        <f t="shared" si="4"/>
        <v>33786.480000000003</v>
      </c>
      <c r="X18" s="125">
        <f t="shared" si="4"/>
        <v>33811.96</v>
      </c>
      <c r="Y18" s="125">
        <f t="shared" si="4"/>
        <v>33837.440000000002</v>
      </c>
      <c r="Z18" s="125">
        <f t="shared" si="4"/>
        <v>33862.92</v>
      </c>
      <c r="AA18" s="125">
        <f t="shared" si="4"/>
        <v>33888.400000000001</v>
      </c>
      <c r="AB18" s="125">
        <f t="shared" si="4"/>
        <v>33913.879999999997</v>
      </c>
      <c r="AC18" s="125">
        <f t="shared" si="4"/>
        <v>33939.360000000001</v>
      </c>
      <c r="AD18" s="125">
        <f t="shared" si="4"/>
        <v>33964.840000000004</v>
      </c>
      <c r="AE18" s="125"/>
      <c r="AF18" s="125"/>
      <c r="AG18" s="125"/>
      <c r="AH18" s="125"/>
      <c r="AI18" s="125"/>
    </row>
    <row r="19" spans="1:37" x14ac:dyDescent="0.25">
      <c r="A19" s="124" t="s">
        <v>803</v>
      </c>
      <c r="B19" s="125">
        <f>B16*$O$5</f>
        <v>12762.9</v>
      </c>
      <c r="C19" s="125">
        <f t="shared" ref="C19:AD19" si="5">C16*$O$5</f>
        <v>12772.679999999998</v>
      </c>
      <c r="D19" s="125">
        <f t="shared" si="5"/>
        <v>12782.46</v>
      </c>
      <c r="E19" s="125">
        <f t="shared" si="5"/>
        <v>12792.24</v>
      </c>
      <c r="F19" s="125">
        <f t="shared" si="5"/>
        <v>12802.019999999999</v>
      </c>
      <c r="G19" s="125">
        <f t="shared" si="5"/>
        <v>12811.8</v>
      </c>
      <c r="H19" s="125">
        <f t="shared" si="5"/>
        <v>12821.58</v>
      </c>
      <c r="I19" s="125">
        <f t="shared" si="5"/>
        <v>12831.359999999999</v>
      </c>
      <c r="J19" s="125">
        <f t="shared" si="5"/>
        <v>12841.14</v>
      </c>
      <c r="K19" s="125">
        <f t="shared" si="5"/>
        <v>12850.919999999998</v>
      </c>
      <c r="L19" s="125">
        <f t="shared" si="5"/>
        <v>12860.699999999999</v>
      </c>
      <c r="M19" s="125">
        <f t="shared" si="5"/>
        <v>12870.48</v>
      </c>
      <c r="N19" s="125">
        <f t="shared" si="5"/>
        <v>12880.259999999998</v>
      </c>
      <c r="O19" s="125">
        <f t="shared" si="5"/>
        <v>12890.039999999999</v>
      </c>
      <c r="P19" s="125">
        <f t="shared" si="5"/>
        <v>12899.82</v>
      </c>
      <c r="Q19" s="125">
        <f t="shared" si="5"/>
        <v>12909.599999999999</v>
      </c>
      <c r="R19" s="125">
        <f t="shared" si="5"/>
        <v>12919.38</v>
      </c>
      <c r="S19" s="125">
        <f t="shared" si="5"/>
        <v>12929.16</v>
      </c>
      <c r="T19" s="125">
        <f t="shared" si="5"/>
        <v>12938.939999999999</v>
      </c>
      <c r="U19" s="125">
        <f t="shared" si="5"/>
        <v>12948.72</v>
      </c>
      <c r="V19" s="125">
        <f t="shared" si="5"/>
        <v>12958.5</v>
      </c>
      <c r="W19" s="125">
        <f t="shared" si="5"/>
        <v>12968.279999999999</v>
      </c>
      <c r="X19" s="125">
        <f t="shared" si="5"/>
        <v>12978.06</v>
      </c>
      <c r="Y19" s="125">
        <f t="shared" si="5"/>
        <v>12987.839999999998</v>
      </c>
      <c r="Z19" s="125">
        <f t="shared" si="5"/>
        <v>12997.619999999999</v>
      </c>
      <c r="AA19" s="125">
        <f t="shared" si="5"/>
        <v>13007.4</v>
      </c>
      <c r="AB19" s="125">
        <f t="shared" si="5"/>
        <v>13017.179999999998</v>
      </c>
      <c r="AC19" s="125">
        <f t="shared" si="5"/>
        <v>13026.96</v>
      </c>
      <c r="AD19" s="125">
        <f t="shared" si="5"/>
        <v>13036.74</v>
      </c>
      <c r="AE19" s="125"/>
      <c r="AF19" s="125"/>
      <c r="AG19" s="125"/>
      <c r="AH19" s="125"/>
      <c r="AI19" s="125"/>
    </row>
    <row r="20" spans="1:37" x14ac:dyDescent="0.25">
      <c r="A20" s="124" t="s">
        <v>804</v>
      </c>
      <c r="B20" s="125">
        <f>B16*$P$5</f>
        <v>10759.724999999999</v>
      </c>
      <c r="C20" s="125">
        <f t="shared" ref="C20:AD20" si="6">C16*$P$5</f>
        <v>10767.97</v>
      </c>
      <c r="D20" s="125">
        <f t="shared" si="6"/>
        <v>10776.214999999998</v>
      </c>
      <c r="E20" s="125">
        <f t="shared" si="6"/>
        <v>10784.46</v>
      </c>
      <c r="F20" s="125">
        <f t="shared" si="6"/>
        <v>10792.704999999998</v>
      </c>
      <c r="G20" s="125">
        <f t="shared" si="6"/>
        <v>10800.949999999999</v>
      </c>
      <c r="H20" s="125">
        <f t="shared" si="6"/>
        <v>10809.195</v>
      </c>
      <c r="I20" s="125">
        <f t="shared" si="6"/>
        <v>10817.439999999999</v>
      </c>
      <c r="J20" s="125">
        <f t="shared" si="6"/>
        <v>10825.684999999999</v>
      </c>
      <c r="K20" s="125">
        <f t="shared" si="6"/>
        <v>10833.929999999998</v>
      </c>
      <c r="L20" s="125">
        <f t="shared" si="6"/>
        <v>10842.174999999999</v>
      </c>
      <c r="M20" s="125">
        <f t="shared" si="6"/>
        <v>10850.419999999998</v>
      </c>
      <c r="N20" s="125">
        <f t="shared" si="6"/>
        <v>10858.664999999999</v>
      </c>
      <c r="O20" s="125">
        <f t="shared" si="6"/>
        <v>10866.91</v>
      </c>
      <c r="P20" s="125">
        <f t="shared" si="6"/>
        <v>10875.154999999999</v>
      </c>
      <c r="Q20" s="125">
        <f t="shared" si="6"/>
        <v>10883.4</v>
      </c>
      <c r="R20" s="125">
        <f t="shared" si="6"/>
        <v>10891.644999999999</v>
      </c>
      <c r="S20" s="125">
        <f t="shared" si="6"/>
        <v>10899.89</v>
      </c>
      <c r="T20" s="125">
        <f t="shared" si="6"/>
        <v>10908.134999999998</v>
      </c>
      <c r="U20" s="125">
        <f t="shared" si="6"/>
        <v>10916.38</v>
      </c>
      <c r="V20" s="125">
        <f t="shared" si="6"/>
        <v>10924.624999999998</v>
      </c>
      <c r="W20" s="125">
        <f t="shared" si="6"/>
        <v>10932.869999999999</v>
      </c>
      <c r="X20" s="125">
        <f t="shared" si="6"/>
        <v>10941.115</v>
      </c>
      <c r="Y20" s="125">
        <f t="shared" si="6"/>
        <v>10949.359999999999</v>
      </c>
      <c r="Z20" s="125">
        <f t="shared" si="6"/>
        <v>10957.605</v>
      </c>
      <c r="AA20" s="125">
        <f t="shared" si="6"/>
        <v>10965.849999999999</v>
      </c>
      <c r="AB20" s="125">
        <f t="shared" si="6"/>
        <v>10974.094999999999</v>
      </c>
      <c r="AC20" s="125">
        <f t="shared" si="6"/>
        <v>10982.339999999998</v>
      </c>
      <c r="AD20" s="125">
        <f t="shared" si="6"/>
        <v>10990.584999999999</v>
      </c>
      <c r="AE20" s="125"/>
      <c r="AF20" s="125"/>
      <c r="AG20" s="125"/>
      <c r="AH20" s="125"/>
      <c r="AI20" s="125"/>
    </row>
    <row r="21" spans="1:37" x14ac:dyDescent="0.25">
      <c r="A21" s="124" t="s">
        <v>805</v>
      </c>
      <c r="B21" s="125">
        <f>B16*$Q$5</f>
        <v>1331.1000000000001</v>
      </c>
      <c r="C21" s="125">
        <f t="shared" ref="C21:AD21" si="7">C16*$Q$5</f>
        <v>1332.1200000000001</v>
      </c>
      <c r="D21" s="125">
        <f t="shared" si="7"/>
        <v>1333.14</v>
      </c>
      <c r="E21" s="125">
        <f t="shared" si="7"/>
        <v>1334.16</v>
      </c>
      <c r="F21" s="125">
        <f t="shared" si="7"/>
        <v>1335.18</v>
      </c>
      <c r="G21" s="125">
        <f t="shared" si="7"/>
        <v>1336.2</v>
      </c>
      <c r="H21" s="125">
        <f t="shared" si="7"/>
        <v>1337.22</v>
      </c>
      <c r="I21" s="125">
        <f t="shared" si="7"/>
        <v>1338.24</v>
      </c>
      <c r="J21" s="125">
        <f t="shared" si="7"/>
        <v>1339.26</v>
      </c>
      <c r="K21" s="125">
        <f t="shared" si="7"/>
        <v>1340.28</v>
      </c>
      <c r="L21" s="125">
        <f t="shared" si="7"/>
        <v>1341.3</v>
      </c>
      <c r="M21" s="125">
        <f t="shared" si="7"/>
        <v>1342.32</v>
      </c>
      <c r="N21" s="125">
        <f t="shared" si="7"/>
        <v>1343.34</v>
      </c>
      <c r="O21" s="125">
        <f t="shared" si="7"/>
        <v>1344.3600000000001</v>
      </c>
      <c r="P21" s="125">
        <f t="shared" si="7"/>
        <v>1345.38</v>
      </c>
      <c r="Q21" s="125">
        <f t="shared" si="7"/>
        <v>1346.4</v>
      </c>
      <c r="R21" s="125">
        <f t="shared" si="7"/>
        <v>1347.42</v>
      </c>
      <c r="S21" s="125">
        <f t="shared" si="7"/>
        <v>1348.44</v>
      </c>
      <c r="T21" s="125">
        <f t="shared" si="7"/>
        <v>1349.46</v>
      </c>
      <c r="U21" s="125">
        <f t="shared" si="7"/>
        <v>1350.48</v>
      </c>
      <c r="V21" s="125">
        <f t="shared" si="7"/>
        <v>1351.5</v>
      </c>
      <c r="W21" s="125">
        <f t="shared" si="7"/>
        <v>1352.52</v>
      </c>
      <c r="X21" s="125">
        <f t="shared" si="7"/>
        <v>1353.54</v>
      </c>
      <c r="Y21" s="125">
        <f t="shared" si="7"/>
        <v>1354.56</v>
      </c>
      <c r="Z21" s="125">
        <f t="shared" si="7"/>
        <v>1355.58</v>
      </c>
      <c r="AA21" s="125">
        <f t="shared" si="7"/>
        <v>1356.6000000000001</v>
      </c>
      <c r="AB21" s="125">
        <f t="shared" si="7"/>
        <v>1357.6200000000001</v>
      </c>
      <c r="AC21" s="125">
        <f t="shared" si="7"/>
        <v>1358.64</v>
      </c>
      <c r="AD21" s="125">
        <f t="shared" si="7"/>
        <v>1359.66</v>
      </c>
      <c r="AE21" s="125"/>
      <c r="AF21" s="125"/>
      <c r="AG21" s="125"/>
      <c r="AH21" s="125"/>
      <c r="AI21" s="125"/>
    </row>
    <row r="22" spans="1:37" x14ac:dyDescent="0.25">
      <c r="A22" s="124" t="s">
        <v>716</v>
      </c>
      <c r="B22" s="125">
        <f>MIN(B$18,$C$4)</f>
        <v>33251.4</v>
      </c>
      <c r="C22" s="125">
        <f t="shared" ref="C22:AD22" si="8">MIN(C$18,$C$4)</f>
        <v>33276.879999999997</v>
      </c>
      <c r="D22" s="125">
        <f t="shared" si="8"/>
        <v>33302.36</v>
      </c>
      <c r="E22" s="125">
        <f t="shared" si="8"/>
        <v>33327.840000000004</v>
      </c>
      <c r="F22" s="125">
        <f t="shared" si="8"/>
        <v>33353.32</v>
      </c>
      <c r="G22" s="125">
        <f t="shared" si="8"/>
        <v>33378.800000000003</v>
      </c>
      <c r="H22" s="125">
        <f t="shared" si="8"/>
        <v>33404.28</v>
      </c>
      <c r="I22" s="125">
        <f t="shared" si="8"/>
        <v>33429.760000000002</v>
      </c>
      <c r="J22" s="125">
        <f t="shared" si="8"/>
        <v>33455.24</v>
      </c>
      <c r="K22" s="125">
        <f t="shared" si="8"/>
        <v>33480.720000000001</v>
      </c>
      <c r="L22" s="125">
        <f t="shared" si="8"/>
        <v>33506.199999999997</v>
      </c>
      <c r="M22" s="125">
        <f t="shared" si="8"/>
        <v>33531.68</v>
      </c>
      <c r="N22" s="125">
        <f t="shared" si="8"/>
        <v>33557.160000000003</v>
      </c>
      <c r="O22" s="125">
        <f t="shared" si="8"/>
        <v>33582.639999999999</v>
      </c>
      <c r="P22" s="125">
        <f t="shared" si="8"/>
        <v>33608.120000000003</v>
      </c>
      <c r="Q22" s="125">
        <f t="shared" si="8"/>
        <v>33633.599999999999</v>
      </c>
      <c r="R22" s="125">
        <f t="shared" si="8"/>
        <v>33659.08</v>
      </c>
      <c r="S22" s="125">
        <f t="shared" si="8"/>
        <v>33684.559999999998</v>
      </c>
      <c r="T22" s="125">
        <f t="shared" si="8"/>
        <v>33710.04</v>
      </c>
      <c r="U22" s="125">
        <f t="shared" si="8"/>
        <v>33735.520000000004</v>
      </c>
      <c r="V22" s="125">
        <f t="shared" si="8"/>
        <v>33761</v>
      </c>
      <c r="W22" s="125">
        <f t="shared" si="8"/>
        <v>33786.480000000003</v>
      </c>
      <c r="X22" s="125">
        <f t="shared" si="8"/>
        <v>33811.96</v>
      </c>
      <c r="Y22" s="125">
        <f t="shared" si="8"/>
        <v>33837.440000000002</v>
      </c>
      <c r="Z22" s="125">
        <f t="shared" si="8"/>
        <v>33862.92</v>
      </c>
      <c r="AA22" s="125">
        <f t="shared" si="8"/>
        <v>33888.400000000001</v>
      </c>
      <c r="AB22" s="125">
        <f t="shared" si="8"/>
        <v>33913.879999999997</v>
      </c>
      <c r="AC22" s="125">
        <f t="shared" si="8"/>
        <v>33939.360000000001</v>
      </c>
      <c r="AD22" s="125">
        <f t="shared" si="8"/>
        <v>33964.840000000004</v>
      </c>
      <c r="AE22" s="125"/>
      <c r="AF22" s="125"/>
      <c r="AG22" s="125"/>
      <c r="AH22" s="125"/>
      <c r="AI22" s="125"/>
    </row>
    <row r="23" spans="1:37" x14ac:dyDescent="0.25">
      <c r="A23" s="124" t="s">
        <v>717</v>
      </c>
      <c r="B23" s="125">
        <f>MIN(B$19,$C$5)</f>
        <v>12762.9</v>
      </c>
      <c r="C23" s="125">
        <f t="shared" ref="C23:AD23" si="9">MIN(C$19,$C$5)</f>
        <v>12772.679999999998</v>
      </c>
      <c r="D23" s="125">
        <f t="shared" si="9"/>
        <v>12782.46</v>
      </c>
      <c r="E23" s="125">
        <f t="shared" si="9"/>
        <v>12792.24</v>
      </c>
      <c r="F23" s="125">
        <f t="shared" si="9"/>
        <v>12802.019999999999</v>
      </c>
      <c r="G23" s="125">
        <f t="shared" si="9"/>
        <v>12811.8</v>
      </c>
      <c r="H23" s="125">
        <f t="shared" si="9"/>
        <v>12821.58</v>
      </c>
      <c r="I23" s="125">
        <f t="shared" si="9"/>
        <v>12831.359999999999</v>
      </c>
      <c r="J23" s="125">
        <f t="shared" si="9"/>
        <v>12841.14</v>
      </c>
      <c r="K23" s="125">
        <f t="shared" si="9"/>
        <v>12850.919999999998</v>
      </c>
      <c r="L23" s="125">
        <f t="shared" si="9"/>
        <v>12860.699999999999</v>
      </c>
      <c r="M23" s="125">
        <f t="shared" si="9"/>
        <v>12870.48</v>
      </c>
      <c r="N23" s="125">
        <f t="shared" si="9"/>
        <v>12880.259999999998</v>
      </c>
      <c r="O23" s="125">
        <f t="shared" si="9"/>
        <v>12890.039999999999</v>
      </c>
      <c r="P23" s="125">
        <f t="shared" si="9"/>
        <v>12899.82</v>
      </c>
      <c r="Q23" s="125">
        <f t="shared" si="9"/>
        <v>12909.599999999999</v>
      </c>
      <c r="R23" s="125">
        <f t="shared" si="9"/>
        <v>12919.38</v>
      </c>
      <c r="S23" s="125">
        <f t="shared" si="9"/>
        <v>12929.16</v>
      </c>
      <c r="T23" s="125">
        <f t="shared" si="9"/>
        <v>12938.939999999999</v>
      </c>
      <c r="U23" s="125">
        <f t="shared" si="9"/>
        <v>12948.72</v>
      </c>
      <c r="V23" s="125">
        <f t="shared" si="9"/>
        <v>12958.5</v>
      </c>
      <c r="W23" s="125">
        <f t="shared" si="9"/>
        <v>12968.279999999999</v>
      </c>
      <c r="X23" s="125">
        <f t="shared" si="9"/>
        <v>12978.06</v>
      </c>
      <c r="Y23" s="125">
        <f t="shared" si="9"/>
        <v>12987.839999999998</v>
      </c>
      <c r="Z23" s="125">
        <f t="shared" si="9"/>
        <v>12997.619999999999</v>
      </c>
      <c r="AA23" s="125">
        <f t="shared" si="9"/>
        <v>13007.4</v>
      </c>
      <c r="AB23" s="125">
        <f t="shared" si="9"/>
        <v>13017.179999999998</v>
      </c>
      <c r="AC23" s="125">
        <f t="shared" si="9"/>
        <v>13026.96</v>
      </c>
      <c r="AD23" s="125">
        <f t="shared" si="9"/>
        <v>13036.74</v>
      </c>
      <c r="AE23" s="125"/>
      <c r="AF23" s="125"/>
      <c r="AG23" s="125"/>
      <c r="AH23" s="125"/>
      <c r="AI23" s="125"/>
    </row>
    <row r="24" spans="1:37" x14ac:dyDescent="0.25">
      <c r="A24" s="124" t="s">
        <v>718</v>
      </c>
      <c r="B24" s="125">
        <f>MIN(B$20,$C$6)</f>
        <v>10759.724999999999</v>
      </c>
      <c r="C24" s="125">
        <f t="shared" ref="C24:AD24" si="10">MIN(C$20,$C$6)</f>
        <v>10767.97</v>
      </c>
      <c r="D24" s="125">
        <f t="shared" si="10"/>
        <v>10776.214999999998</v>
      </c>
      <c r="E24" s="125">
        <f t="shared" si="10"/>
        <v>10784.46</v>
      </c>
      <c r="F24" s="125">
        <f t="shared" si="10"/>
        <v>10792.704999999998</v>
      </c>
      <c r="G24" s="125">
        <f t="shared" si="10"/>
        <v>10800.949999999999</v>
      </c>
      <c r="H24" s="125">
        <f t="shared" si="10"/>
        <v>10809.195</v>
      </c>
      <c r="I24" s="125">
        <f t="shared" si="10"/>
        <v>10817.439999999999</v>
      </c>
      <c r="J24" s="125">
        <f t="shared" si="10"/>
        <v>10825.684999999999</v>
      </c>
      <c r="K24" s="125">
        <f t="shared" si="10"/>
        <v>10833.929999999998</v>
      </c>
      <c r="L24" s="125">
        <f t="shared" si="10"/>
        <v>10842.174999999999</v>
      </c>
      <c r="M24" s="125">
        <f t="shared" si="10"/>
        <v>10850.419999999998</v>
      </c>
      <c r="N24" s="125">
        <f t="shared" si="10"/>
        <v>10858.664999999999</v>
      </c>
      <c r="O24" s="125">
        <f t="shared" si="10"/>
        <v>10866.91</v>
      </c>
      <c r="P24" s="125">
        <f t="shared" si="10"/>
        <v>10875.154999999999</v>
      </c>
      <c r="Q24" s="125">
        <f t="shared" si="10"/>
        <v>10883.4</v>
      </c>
      <c r="R24" s="125">
        <f t="shared" si="10"/>
        <v>10891.644999999999</v>
      </c>
      <c r="S24" s="125">
        <f t="shared" si="10"/>
        <v>10899.89</v>
      </c>
      <c r="T24" s="125">
        <f t="shared" si="10"/>
        <v>10908.134999999998</v>
      </c>
      <c r="U24" s="125">
        <f t="shared" si="10"/>
        <v>10916.38</v>
      </c>
      <c r="V24" s="125">
        <f t="shared" si="10"/>
        <v>10924.624999999998</v>
      </c>
      <c r="W24" s="125">
        <f t="shared" si="10"/>
        <v>10932.869999999999</v>
      </c>
      <c r="X24" s="125">
        <f t="shared" si="10"/>
        <v>10941.115</v>
      </c>
      <c r="Y24" s="125">
        <f t="shared" si="10"/>
        <v>10949.359999999999</v>
      </c>
      <c r="Z24" s="125">
        <f t="shared" si="10"/>
        <v>10957.605</v>
      </c>
      <c r="AA24" s="125">
        <f t="shared" si="10"/>
        <v>10965.849999999999</v>
      </c>
      <c r="AB24" s="125">
        <f t="shared" si="10"/>
        <v>10974.094999999999</v>
      </c>
      <c r="AC24" s="125">
        <f t="shared" si="10"/>
        <v>10982.339999999998</v>
      </c>
      <c r="AD24" s="125">
        <f t="shared" si="10"/>
        <v>10990.584999999999</v>
      </c>
      <c r="AE24" s="125"/>
      <c r="AF24" s="125"/>
      <c r="AG24" s="125"/>
      <c r="AH24" s="125"/>
      <c r="AI24" s="125"/>
    </row>
    <row r="25" spans="1:37" x14ac:dyDescent="0.25">
      <c r="A25" s="124" t="s">
        <v>719</v>
      </c>
      <c r="B25" s="125">
        <f>MIN(B$21,$C$7)</f>
        <v>1331.1000000000001</v>
      </c>
      <c r="C25" s="125">
        <f t="shared" ref="C25:AD25" si="11">MIN(C$21,$C$7)</f>
        <v>1332.1200000000001</v>
      </c>
      <c r="D25" s="125">
        <f t="shared" si="11"/>
        <v>1333.14</v>
      </c>
      <c r="E25" s="125">
        <f t="shared" si="11"/>
        <v>1334.16</v>
      </c>
      <c r="F25" s="125">
        <f t="shared" si="11"/>
        <v>1335.18</v>
      </c>
      <c r="G25" s="125">
        <f t="shared" si="11"/>
        <v>1336.2</v>
      </c>
      <c r="H25" s="125">
        <f t="shared" si="11"/>
        <v>1337.22</v>
      </c>
      <c r="I25" s="125">
        <f t="shared" si="11"/>
        <v>1338.24</v>
      </c>
      <c r="J25" s="125">
        <f t="shared" si="11"/>
        <v>1339.26</v>
      </c>
      <c r="K25" s="125">
        <f t="shared" si="11"/>
        <v>1340.28</v>
      </c>
      <c r="L25" s="125">
        <f t="shared" si="11"/>
        <v>1341.3</v>
      </c>
      <c r="M25" s="125">
        <f t="shared" si="11"/>
        <v>1342.32</v>
      </c>
      <c r="N25" s="125">
        <f t="shared" si="11"/>
        <v>1343.34</v>
      </c>
      <c r="O25" s="125">
        <f t="shared" si="11"/>
        <v>1344.3600000000001</v>
      </c>
      <c r="P25" s="125">
        <f t="shared" si="11"/>
        <v>1345.38</v>
      </c>
      <c r="Q25" s="125">
        <f t="shared" si="11"/>
        <v>1346.4</v>
      </c>
      <c r="R25" s="125">
        <f t="shared" si="11"/>
        <v>1347.42</v>
      </c>
      <c r="S25" s="125">
        <f t="shared" si="11"/>
        <v>1348.44</v>
      </c>
      <c r="T25" s="125">
        <f t="shared" si="11"/>
        <v>1349.46</v>
      </c>
      <c r="U25" s="125">
        <f t="shared" si="11"/>
        <v>1350.48</v>
      </c>
      <c r="V25" s="125">
        <f t="shared" si="11"/>
        <v>1351.5</v>
      </c>
      <c r="W25" s="125">
        <f t="shared" si="11"/>
        <v>1352.52</v>
      </c>
      <c r="X25" s="125">
        <f t="shared" si="11"/>
        <v>1353.54</v>
      </c>
      <c r="Y25" s="125">
        <f t="shared" si="11"/>
        <v>1354.56</v>
      </c>
      <c r="Z25" s="125">
        <f t="shared" si="11"/>
        <v>1355.58</v>
      </c>
      <c r="AA25" s="125">
        <f t="shared" si="11"/>
        <v>1356.6000000000001</v>
      </c>
      <c r="AB25" s="125">
        <f t="shared" si="11"/>
        <v>1357.6200000000001</v>
      </c>
      <c r="AC25" s="125">
        <f t="shared" si="11"/>
        <v>1358.64</v>
      </c>
      <c r="AD25" s="125">
        <f t="shared" si="11"/>
        <v>1359.66</v>
      </c>
      <c r="AE25" s="125"/>
      <c r="AF25" s="125"/>
      <c r="AG25" s="125"/>
      <c r="AH25" s="125"/>
      <c r="AI25" s="125"/>
    </row>
    <row r="26" spans="1:37" x14ac:dyDescent="0.25">
      <c r="A26" s="126" t="s">
        <v>706</v>
      </c>
      <c r="B26" s="127">
        <f>IF(B22&gt;$B$4,(B22-$B$4)*$H$4,0)</f>
        <v>0</v>
      </c>
      <c r="C26" s="127">
        <v>0</v>
      </c>
      <c r="D26" s="127">
        <f>IF(D22&gt;$B$4,(D22-$B$4)*$H$4,0)</f>
        <v>0</v>
      </c>
      <c r="E26" s="127">
        <v>0</v>
      </c>
      <c r="F26" s="127">
        <f>IF(F22&gt;$B$4,(F22-$B$4)*$H$4,0)</f>
        <v>0</v>
      </c>
      <c r="G26" s="127">
        <v>0</v>
      </c>
      <c r="H26" s="127">
        <f>IF(H22&gt;$B$4,(H22-$B$4)*$H$4,0)</f>
        <v>0</v>
      </c>
      <c r="I26" s="127">
        <v>0</v>
      </c>
      <c r="J26" s="127">
        <f>IF(J22&gt;$B$4,(J22-$B$4)*$H$4,0)</f>
        <v>0</v>
      </c>
      <c r="K26" s="127">
        <v>0</v>
      </c>
      <c r="L26" s="127">
        <f>IF(L22&gt;$B$4,(L22-$B$4)*$H$4,0)</f>
        <v>0</v>
      </c>
      <c r="M26" s="127">
        <v>0</v>
      </c>
      <c r="N26" s="127">
        <f>IF(N22&gt;$B$4,(N22-$B$4)*$H$4,0)</f>
        <v>0</v>
      </c>
      <c r="O26" s="127">
        <v>0</v>
      </c>
      <c r="P26" s="127">
        <f>IF(P22&gt;$B$4,(P22-$B$4)*$H$4,0)</f>
        <v>0</v>
      </c>
      <c r="Q26" s="127">
        <v>0</v>
      </c>
      <c r="R26" s="127">
        <f>IF(R22&gt;$B$4,(R22-$B$4)*$H$4,0)</f>
        <v>0</v>
      </c>
      <c r="S26" s="127">
        <v>0</v>
      </c>
      <c r="T26" s="127">
        <f>IF(T22&gt;$B$4,(T22-$B$4)*$H$4,0)</f>
        <v>0</v>
      </c>
      <c r="U26" s="127">
        <v>0</v>
      </c>
      <c r="V26" s="127">
        <f>IF(V22&gt;$B$4,(V22-$B$4)*$H$4,0)</f>
        <v>0</v>
      </c>
      <c r="W26" s="127">
        <v>0</v>
      </c>
      <c r="X26" s="127">
        <f>IF(X22&gt;$B$4,(X22-$B$4)*$H$4,0)</f>
        <v>0</v>
      </c>
      <c r="Y26" s="127">
        <v>0</v>
      </c>
      <c r="Z26" s="127">
        <f>IF(Z22&gt;$B$4,(Z22-$B$4)*$H$4,0)</f>
        <v>0</v>
      </c>
      <c r="AA26" s="127">
        <v>0</v>
      </c>
      <c r="AB26" s="127">
        <f>IF(AB22&gt;$B$4,(AB22-$B$4)*$H$4,0)</f>
        <v>0</v>
      </c>
      <c r="AC26" s="127">
        <v>0</v>
      </c>
      <c r="AD26" s="127">
        <f>IF(AD22&gt;$B$4,(AD22-$B$4)*$H$4,0)</f>
        <v>0</v>
      </c>
      <c r="AE26" s="127">
        <v>0</v>
      </c>
      <c r="AF26" s="127">
        <f>IF(AF22&gt;$B$4,(AF22-$B$4)*$H$4,0)</f>
        <v>0</v>
      </c>
      <c r="AG26" s="127">
        <v>0</v>
      </c>
      <c r="AH26" s="127">
        <f>IF(AH22&gt;$B$4,(AH22-$B$4)*$H$4,0)</f>
        <v>0</v>
      </c>
      <c r="AI26" s="127">
        <v>0</v>
      </c>
      <c r="AJ26" s="127">
        <f>IF(AJ22&gt;$B$4,(AJ22-$B$4)*$H$4,0)</f>
        <v>0</v>
      </c>
      <c r="AK26" s="127">
        <v>0</v>
      </c>
    </row>
    <row r="27" spans="1:37" x14ac:dyDescent="0.25">
      <c r="A27" s="126" t="s">
        <v>707</v>
      </c>
      <c r="B27" s="127">
        <f>IF(B23&gt;$B$5,(B23-$B$5)*$H$5,0)</f>
        <v>0</v>
      </c>
      <c r="C27" s="127">
        <v>0</v>
      </c>
      <c r="D27" s="127">
        <f>IF(D23&gt;$B$5,(D23-$B$5)*$H$5,0)</f>
        <v>0</v>
      </c>
      <c r="E27" s="127">
        <v>0</v>
      </c>
      <c r="F27" s="127">
        <f>IF(F23&gt;$B$5,(F23-$B$5)*$H$5,0)</f>
        <v>0</v>
      </c>
      <c r="G27" s="127">
        <v>0</v>
      </c>
      <c r="H27" s="127">
        <f>IF(H23&gt;$B$5,(H23-$B$5)*$H$5,0)</f>
        <v>0</v>
      </c>
      <c r="I27" s="127">
        <v>0</v>
      </c>
      <c r="J27" s="127">
        <f>IF(J23&gt;$B$5,(J23-$B$5)*$H$5,0)</f>
        <v>0</v>
      </c>
      <c r="K27" s="127">
        <v>0</v>
      </c>
      <c r="L27" s="127">
        <f>IF(L23&gt;$B$5,(L23-$B$5)*$H$5,0)</f>
        <v>0</v>
      </c>
      <c r="M27" s="127">
        <v>0</v>
      </c>
      <c r="N27" s="127">
        <f>IF(N23&gt;$B$5,(N23-$B$5)*$H$5,0)</f>
        <v>0</v>
      </c>
      <c r="O27" s="127">
        <v>0</v>
      </c>
      <c r="P27" s="127">
        <f>IF(P23&gt;$B$5,(P23-$B$5)*$H$5,0)</f>
        <v>0</v>
      </c>
      <c r="Q27" s="127">
        <v>0</v>
      </c>
      <c r="R27" s="127">
        <f>IF(R23&gt;$B$5,(R23-$B$5)*$H$5,0)</f>
        <v>0</v>
      </c>
      <c r="S27" s="127">
        <v>0</v>
      </c>
      <c r="T27" s="127">
        <f>IF(T23&gt;$B$5,(T23-$B$5)*$H$5,0)</f>
        <v>0</v>
      </c>
      <c r="U27" s="127">
        <v>0</v>
      </c>
      <c r="V27" s="127">
        <f>IF(V23&gt;$B$5,(V23-$B$5)*$H$5,0)</f>
        <v>0</v>
      </c>
      <c r="W27" s="127">
        <v>0</v>
      </c>
      <c r="X27" s="127">
        <f>IF(X23&gt;$B$5,(X23-$B$5)*$H$5,0)</f>
        <v>0</v>
      </c>
      <c r="Y27" s="127">
        <v>0</v>
      </c>
      <c r="Z27" s="127">
        <f>IF(Z23&gt;$B$5,(Z23-$B$5)*$H$5,0)</f>
        <v>0</v>
      </c>
      <c r="AA27" s="127">
        <v>0</v>
      </c>
      <c r="AB27" s="127">
        <f>IF(AB23&gt;$B$5,(AB23-$B$5)*$H$5,0)</f>
        <v>0</v>
      </c>
      <c r="AC27" s="127">
        <v>0</v>
      </c>
      <c r="AD27" s="127">
        <f>IF(AD23&gt;$B$5,(AD23-$B$5)*$H$5,0)</f>
        <v>0</v>
      </c>
      <c r="AE27" s="127">
        <v>0</v>
      </c>
      <c r="AF27" s="127">
        <f>IF(AF23&gt;$B$5,(AF23-$B$5)*$H$5,0)</f>
        <v>0</v>
      </c>
      <c r="AG27" s="127">
        <v>0</v>
      </c>
      <c r="AH27" s="127">
        <f>IF(AH23&gt;$B$5,(AH23-$B$5)*$H$5,0)</f>
        <v>0</v>
      </c>
      <c r="AI27" s="127">
        <v>0</v>
      </c>
      <c r="AJ27" s="127">
        <f>IF(AJ23&gt;$B$5,(AJ23-$B$5)*$H$5,0)</f>
        <v>0</v>
      </c>
      <c r="AK27" s="127">
        <v>0</v>
      </c>
    </row>
    <row r="28" spans="1:37" x14ac:dyDescent="0.25">
      <c r="A28" s="126" t="s">
        <v>708</v>
      </c>
      <c r="B28" s="127">
        <f>IF(B24&gt;$B$6,(B24-$B$6)*$H$6,0)</f>
        <v>0</v>
      </c>
      <c r="C28" s="127">
        <v>0</v>
      </c>
      <c r="D28" s="127">
        <f>IF(D24&gt;$B$6,(D24-$B$6)*$H$6,0)</f>
        <v>0</v>
      </c>
      <c r="E28" s="127">
        <v>0</v>
      </c>
      <c r="F28" s="127">
        <f>IF(F24&gt;$B$6,(F24-$B$6)*$H$6,0)</f>
        <v>0</v>
      </c>
      <c r="G28" s="127">
        <v>0</v>
      </c>
      <c r="H28" s="127">
        <f>IF(H24&gt;$B$6,(H24-$B$6)*$H$6,0)</f>
        <v>0</v>
      </c>
      <c r="I28" s="127">
        <v>0</v>
      </c>
      <c r="J28" s="127">
        <f>IF(J24&gt;$B$6,(J24-$B$6)*$H$6,0)</f>
        <v>0</v>
      </c>
      <c r="K28" s="127">
        <v>0</v>
      </c>
      <c r="L28" s="127">
        <f>IF(L24&gt;$B$6,(L24-$B$6)*$H$6,0)</f>
        <v>0</v>
      </c>
      <c r="M28" s="127">
        <v>0</v>
      </c>
      <c r="N28" s="127">
        <f>IF(N24&gt;$B$6,(N24-$B$6)*$H$6,0)</f>
        <v>0</v>
      </c>
      <c r="O28" s="127">
        <v>0</v>
      </c>
      <c r="P28" s="127">
        <f>IF(P24&gt;$B$6,(P24-$B$6)*$H$6,0)</f>
        <v>0</v>
      </c>
      <c r="Q28" s="127">
        <v>0</v>
      </c>
      <c r="R28" s="127">
        <f>IF(R24&gt;$B$6,(R24-$B$6)*$H$6,0)</f>
        <v>0</v>
      </c>
      <c r="S28" s="127">
        <v>0</v>
      </c>
      <c r="T28" s="127">
        <f>IF(T24&gt;$B$6,(T24-$B$6)*$H$6,0)</f>
        <v>0</v>
      </c>
      <c r="U28" s="127">
        <v>0</v>
      </c>
      <c r="V28" s="127">
        <f>IF(V24&gt;$B$6,(V24-$B$6)*$H$6,0)</f>
        <v>0</v>
      </c>
      <c r="W28" s="127">
        <v>0</v>
      </c>
      <c r="X28" s="127">
        <f>IF(X24&gt;$B$6,(X24-$B$6)*$H$6,0)</f>
        <v>0</v>
      </c>
      <c r="Y28" s="127">
        <v>0</v>
      </c>
      <c r="Z28" s="127">
        <f>IF(Z24&gt;$B$6,(Z24-$B$6)*$H$6,0)</f>
        <v>0</v>
      </c>
      <c r="AA28" s="127">
        <v>0</v>
      </c>
      <c r="AB28" s="127">
        <f>IF(AB24&gt;$B$6,(AB24-$B$6)*$H$6,0)</f>
        <v>0</v>
      </c>
      <c r="AC28" s="127">
        <v>0</v>
      </c>
      <c r="AD28" s="127">
        <f>IF(AD24&gt;$B$6,(AD24-$B$6)*$H$6,0)</f>
        <v>0</v>
      </c>
      <c r="AE28" s="127">
        <v>0</v>
      </c>
      <c r="AF28" s="127">
        <f>IF(AF24&gt;$B$6,(AF24-$B$6)*$H$6,0)</f>
        <v>0</v>
      </c>
      <c r="AG28" s="127">
        <v>0</v>
      </c>
      <c r="AH28" s="127">
        <f>IF(AH24&gt;$B$6,(AH24-$B$6)*$H$6,0)</f>
        <v>0</v>
      </c>
      <c r="AI28" s="127">
        <v>0</v>
      </c>
      <c r="AJ28" s="127">
        <f>IF(AJ24&gt;$B$6,(AJ24-$B$6)*$H$6,0)</f>
        <v>0</v>
      </c>
      <c r="AK28" s="127">
        <v>0</v>
      </c>
    </row>
    <row r="29" spans="1:37" s="123" customFormat="1" x14ac:dyDescent="0.25">
      <c r="A29" s="126" t="s">
        <v>709</v>
      </c>
      <c r="B29" s="127">
        <f>IF(B25&gt;$B$7,(B25-$B$7)*$H$7,0)</f>
        <v>0</v>
      </c>
      <c r="C29" s="127">
        <v>0</v>
      </c>
      <c r="D29" s="127">
        <f>IF(D25&gt;$B$7,(D25-$B$7)*$H$7,0)</f>
        <v>0</v>
      </c>
      <c r="E29" s="127">
        <v>0</v>
      </c>
      <c r="F29" s="127">
        <f>IF(F25&gt;$B$7,(F25-$B$7)*$H$7,0)</f>
        <v>0</v>
      </c>
      <c r="G29" s="127">
        <v>0</v>
      </c>
      <c r="H29" s="127">
        <f>IF(H25&gt;$B$7,(H25-$B$7)*$H$7,0)</f>
        <v>0</v>
      </c>
      <c r="I29" s="127">
        <v>0</v>
      </c>
      <c r="J29" s="127">
        <f>IF(J25&gt;$B$7,(J25-$B$7)*$H$7,0)</f>
        <v>0</v>
      </c>
      <c r="K29" s="127">
        <v>0</v>
      </c>
      <c r="L29" s="127">
        <f>IF(L25&gt;$B$7,(L25-$B$7)*$H$7,0)</f>
        <v>0</v>
      </c>
      <c r="M29" s="127">
        <v>0</v>
      </c>
      <c r="N29" s="127">
        <f>IF(N25&gt;$B$7,(N25-$B$7)*$H$7,0)</f>
        <v>0</v>
      </c>
      <c r="O29" s="127">
        <v>0</v>
      </c>
      <c r="P29" s="127">
        <f>IF(P25&gt;$B$7,(P25-$B$7)*$H$7,0)</f>
        <v>0</v>
      </c>
      <c r="Q29" s="127">
        <v>0</v>
      </c>
      <c r="R29" s="127">
        <f>IF(R25&gt;$B$7,(R25-$B$7)*$H$7,0)</f>
        <v>0</v>
      </c>
      <c r="S29" s="127">
        <v>0</v>
      </c>
      <c r="T29" s="127">
        <f>IF(T25&gt;$B$7,(T25-$B$7)*$H$7,0)</f>
        <v>0</v>
      </c>
      <c r="U29" s="127">
        <v>0</v>
      </c>
      <c r="V29" s="127">
        <f>IF(V25&gt;$B$7,(V25-$B$7)*$H$7,0)</f>
        <v>0</v>
      </c>
      <c r="W29" s="127">
        <v>0</v>
      </c>
      <c r="X29" s="127">
        <f>IF(X25&gt;$B$7,(X25-$B$7)*$H$7,0)</f>
        <v>0</v>
      </c>
      <c r="Y29" s="127">
        <v>0</v>
      </c>
      <c r="Z29" s="127">
        <f>IF(Z25&gt;$B$7,(Z25-$B$7)*$H$7,0)</f>
        <v>0</v>
      </c>
      <c r="AA29" s="127">
        <v>0</v>
      </c>
      <c r="AB29" s="127">
        <f>IF(AB25&gt;$B$7,(AB25-$B$7)*$H$7,0)</f>
        <v>0</v>
      </c>
      <c r="AC29" s="127">
        <v>0</v>
      </c>
      <c r="AD29" s="127">
        <f>IF(AD25&gt;$B$7,(AD25-$B$7)*$H$7,0)</f>
        <v>0</v>
      </c>
      <c r="AE29" s="127">
        <v>0</v>
      </c>
      <c r="AF29" s="127">
        <f>IF(AF25&gt;$B$7,(AF25-$B$7)*$H$7,0)</f>
        <v>0</v>
      </c>
      <c r="AG29" s="127">
        <v>0</v>
      </c>
      <c r="AH29" s="127">
        <f>IF(AH25&gt;$B$7,(AH25-$B$7)*$H$7,0)</f>
        <v>0</v>
      </c>
      <c r="AI29" s="127">
        <v>0</v>
      </c>
      <c r="AJ29" s="127">
        <f>IF(AJ25&gt;$B$7,(AJ25-$B$7)*$H$7,0)</f>
        <v>0</v>
      </c>
      <c r="AK29" s="127">
        <v>0</v>
      </c>
    </row>
    <row r="30" spans="1:37" s="123" customFormat="1" x14ac:dyDescent="0.25">
      <c r="A30" s="120" t="s">
        <v>712</v>
      </c>
      <c r="B30" s="121">
        <f>G4+G5+G6+G7</f>
        <v>3425.8</v>
      </c>
      <c r="C30" s="121">
        <f t="shared" ref="C30:N30" si="12">B30</f>
        <v>3425.8</v>
      </c>
      <c r="D30" s="121">
        <f t="shared" si="12"/>
        <v>3425.8</v>
      </c>
      <c r="E30" s="121">
        <f t="shared" si="12"/>
        <v>3425.8</v>
      </c>
      <c r="F30" s="121">
        <f>E30</f>
        <v>3425.8</v>
      </c>
      <c r="G30" s="121">
        <f>F30</f>
        <v>3425.8</v>
      </c>
      <c r="H30" s="121">
        <f>G30</f>
        <v>3425.8</v>
      </c>
      <c r="I30" s="121">
        <f t="shared" si="12"/>
        <v>3425.8</v>
      </c>
      <c r="J30" s="121">
        <f t="shared" si="12"/>
        <v>3425.8</v>
      </c>
      <c r="K30" s="121">
        <f t="shared" si="12"/>
        <v>3425.8</v>
      </c>
      <c r="L30" s="121">
        <f t="shared" si="12"/>
        <v>3425.8</v>
      </c>
      <c r="M30" s="121">
        <f t="shared" si="12"/>
        <v>3425.8</v>
      </c>
      <c r="N30" s="121">
        <f t="shared" si="12"/>
        <v>3425.8</v>
      </c>
      <c r="O30" s="121">
        <f>N30</f>
        <v>3425.8</v>
      </c>
      <c r="P30" s="121">
        <f>O30</f>
        <v>3425.8</v>
      </c>
      <c r="Q30" s="121">
        <f>P30</f>
        <v>3425.8</v>
      </c>
      <c r="R30" s="121">
        <f t="shared" ref="R30:AD30" si="13">Q30</f>
        <v>3425.8</v>
      </c>
      <c r="S30" s="121">
        <f t="shared" si="13"/>
        <v>3425.8</v>
      </c>
      <c r="T30" s="121">
        <f t="shared" si="13"/>
        <v>3425.8</v>
      </c>
      <c r="U30" s="121">
        <f t="shared" si="13"/>
        <v>3425.8</v>
      </c>
      <c r="V30" s="121">
        <f t="shared" si="13"/>
        <v>3425.8</v>
      </c>
      <c r="W30" s="121">
        <f t="shared" si="13"/>
        <v>3425.8</v>
      </c>
      <c r="X30" s="121">
        <f t="shared" si="13"/>
        <v>3425.8</v>
      </c>
      <c r="Y30" s="121">
        <f t="shared" si="13"/>
        <v>3425.8</v>
      </c>
      <c r="Z30" s="121">
        <f t="shared" si="13"/>
        <v>3425.8</v>
      </c>
      <c r="AA30" s="121">
        <f t="shared" si="13"/>
        <v>3425.8</v>
      </c>
      <c r="AB30" s="121">
        <f t="shared" si="13"/>
        <v>3425.8</v>
      </c>
      <c r="AC30" s="121">
        <f t="shared" si="13"/>
        <v>3425.8</v>
      </c>
      <c r="AD30" s="121">
        <f t="shared" si="13"/>
        <v>3425.8</v>
      </c>
      <c r="AE30" s="121"/>
      <c r="AF30" s="121"/>
      <c r="AG30" s="121"/>
      <c r="AH30" s="121"/>
      <c r="AI30" s="121"/>
    </row>
    <row r="31" spans="1:37" s="383" customFormat="1" ht="12.75" x14ac:dyDescent="0.2">
      <c r="A31" s="381" t="s">
        <v>713</v>
      </c>
      <c r="B31" s="382">
        <f t="shared" ref="B31:M31" si="14">B26+B27+B28+B29-B30</f>
        <v>-3425.8</v>
      </c>
      <c r="C31" s="382">
        <f>C26+C27+C28+C29-C30</f>
        <v>-3425.8</v>
      </c>
      <c r="D31" s="382">
        <f t="shared" si="14"/>
        <v>-3425.8</v>
      </c>
      <c r="E31" s="382">
        <f t="shared" si="14"/>
        <v>-3425.8</v>
      </c>
      <c r="F31" s="382">
        <f>F26+F27+F28+F29-F30</f>
        <v>-3425.8</v>
      </c>
      <c r="G31" s="382">
        <f>G26+G27+G28+G29-G30</f>
        <v>-3425.8</v>
      </c>
      <c r="H31" s="382">
        <f>H26+H27+H28+H29-H30</f>
        <v>-3425.8</v>
      </c>
      <c r="I31" s="382">
        <f t="shared" si="14"/>
        <v>-3425.8</v>
      </c>
      <c r="J31" s="382">
        <f t="shared" si="14"/>
        <v>-3425.8</v>
      </c>
      <c r="K31" s="382">
        <f t="shared" si="14"/>
        <v>-3425.8</v>
      </c>
      <c r="L31" s="382">
        <f>L26+L27+L28+L29-L30</f>
        <v>-3425.8</v>
      </c>
      <c r="M31" s="382">
        <f t="shared" si="14"/>
        <v>-3425.8</v>
      </c>
      <c r="N31" s="382">
        <f t="shared" ref="N31:AD31" si="15">N26+N27+N28+N29-N30</f>
        <v>-3425.8</v>
      </c>
      <c r="O31" s="382">
        <f t="shared" si="15"/>
        <v>-3425.8</v>
      </c>
      <c r="P31" s="382">
        <f t="shared" si="15"/>
        <v>-3425.8</v>
      </c>
      <c r="Q31" s="382">
        <f t="shared" si="15"/>
        <v>-3425.8</v>
      </c>
      <c r="R31" s="382">
        <f t="shared" si="15"/>
        <v>-3425.8</v>
      </c>
      <c r="S31" s="382">
        <f t="shared" si="15"/>
        <v>-3425.8</v>
      </c>
      <c r="T31" s="382">
        <f t="shared" si="15"/>
        <v>-3425.8</v>
      </c>
      <c r="U31" s="382">
        <f t="shared" si="15"/>
        <v>-3425.8</v>
      </c>
      <c r="V31" s="382">
        <f t="shared" si="15"/>
        <v>-3425.8</v>
      </c>
      <c r="W31" s="382">
        <f t="shared" si="15"/>
        <v>-3425.8</v>
      </c>
      <c r="X31" s="382">
        <f t="shared" si="15"/>
        <v>-3425.8</v>
      </c>
      <c r="Y31" s="382">
        <f t="shared" si="15"/>
        <v>-3425.8</v>
      </c>
      <c r="Z31" s="382">
        <f t="shared" si="15"/>
        <v>-3425.8</v>
      </c>
      <c r="AA31" s="382">
        <f t="shared" si="15"/>
        <v>-3425.8</v>
      </c>
      <c r="AB31" s="382">
        <f t="shared" si="15"/>
        <v>-3425.8</v>
      </c>
      <c r="AC31" s="382">
        <f t="shared" si="15"/>
        <v>-3425.8</v>
      </c>
      <c r="AD31" s="382">
        <f t="shared" si="15"/>
        <v>-3425.8</v>
      </c>
      <c r="AE31" s="382"/>
      <c r="AF31" s="382"/>
      <c r="AG31" s="382"/>
      <c r="AH31" s="382"/>
      <c r="AI31" s="382"/>
    </row>
    <row r="32" spans="1:37" s="383" customFormat="1" ht="12.75" x14ac:dyDescent="0.2">
      <c r="A32" s="384" t="s">
        <v>714</v>
      </c>
      <c r="B32" s="382">
        <f>-B12-B11+B31</f>
        <v>-345030.8</v>
      </c>
      <c r="C32" s="382">
        <f t="shared" ref="C32:N32" si="16">B32+C31</f>
        <v>-348456.6</v>
      </c>
      <c r="D32" s="382">
        <f t="shared" si="16"/>
        <v>-351882.39999999997</v>
      </c>
      <c r="E32" s="382">
        <f t="shared" si="16"/>
        <v>-355308.19999999995</v>
      </c>
      <c r="F32" s="382">
        <f>E32+F31</f>
        <v>-358733.99999999994</v>
      </c>
      <c r="G32" s="382">
        <f>F32+G31</f>
        <v>-362159.79999999993</v>
      </c>
      <c r="H32" s="382">
        <f>G32+H31</f>
        <v>-365585.59999999992</v>
      </c>
      <c r="I32" s="382">
        <f t="shared" si="16"/>
        <v>-369011.39999999991</v>
      </c>
      <c r="J32" s="382">
        <f t="shared" si="16"/>
        <v>-372437.1999999999</v>
      </c>
      <c r="K32" s="382">
        <f t="shared" si="16"/>
        <v>-375862.99999999988</v>
      </c>
      <c r="L32" s="382">
        <f t="shared" si="16"/>
        <v>-379288.79999999987</v>
      </c>
      <c r="M32" s="382">
        <f t="shared" si="16"/>
        <v>-382714.59999999986</v>
      </c>
      <c r="N32" s="382">
        <f t="shared" si="16"/>
        <v>-386140.39999999985</v>
      </c>
      <c r="O32" s="382">
        <f t="shared" ref="O32:AD32" si="17">N32+O31</f>
        <v>-389566.19999999984</v>
      </c>
      <c r="P32" s="382">
        <f t="shared" si="17"/>
        <v>-392991.99999999983</v>
      </c>
      <c r="Q32" s="382">
        <f t="shared" si="17"/>
        <v>-396417.79999999981</v>
      </c>
      <c r="R32" s="382">
        <f t="shared" si="17"/>
        <v>-399843.5999999998</v>
      </c>
      <c r="S32" s="382">
        <f t="shared" si="17"/>
        <v>-403269.39999999979</v>
      </c>
      <c r="T32" s="382">
        <f t="shared" si="17"/>
        <v>-406695.19999999978</v>
      </c>
      <c r="U32" s="382">
        <f t="shared" si="17"/>
        <v>-410120.99999999977</v>
      </c>
      <c r="V32" s="382">
        <f t="shared" si="17"/>
        <v>-413546.79999999976</v>
      </c>
      <c r="W32" s="382">
        <f t="shared" si="17"/>
        <v>-416972.59999999974</v>
      </c>
      <c r="X32" s="382">
        <f t="shared" si="17"/>
        <v>-420398.39999999973</v>
      </c>
      <c r="Y32" s="382">
        <f t="shared" si="17"/>
        <v>-423824.19999999972</v>
      </c>
      <c r="Z32" s="382">
        <f t="shared" si="17"/>
        <v>-427249.99999999971</v>
      </c>
      <c r="AA32" s="382">
        <f t="shared" si="17"/>
        <v>-430675.7999999997</v>
      </c>
      <c r="AB32" s="382">
        <f t="shared" si="17"/>
        <v>-434101.59999999969</v>
      </c>
      <c r="AC32" s="382">
        <f t="shared" si="17"/>
        <v>-437527.39999999967</v>
      </c>
      <c r="AD32" s="382">
        <f t="shared" si="17"/>
        <v>-440953.19999999966</v>
      </c>
      <c r="AE32" s="382"/>
      <c r="AF32" s="382"/>
      <c r="AG32" s="382"/>
      <c r="AH32" s="382"/>
      <c r="AI32" s="382"/>
    </row>
    <row r="33" spans="1:35" x14ac:dyDescent="0.25">
      <c r="B33" s="129">
        <f>B32/$B$13</f>
        <v>-1.0100285417368013</v>
      </c>
      <c r="C33" s="129">
        <f t="shared" ref="C33:AD33" si="18">C32/$B$13</f>
        <v>-1.0200570834736025</v>
      </c>
      <c r="D33" s="129">
        <f t="shared" si="18"/>
        <v>-1.0300856252104038</v>
      </c>
      <c r="E33" s="129">
        <f t="shared" si="18"/>
        <v>-1.0401141669472049</v>
      </c>
      <c r="F33" s="129">
        <f t="shared" si="18"/>
        <v>-1.0501427086840063</v>
      </c>
      <c r="G33" s="129">
        <f t="shared" si="18"/>
        <v>-1.0601712504208074</v>
      </c>
      <c r="H33" s="129">
        <f t="shared" si="18"/>
        <v>-1.0701997921576087</v>
      </c>
      <c r="I33" s="129">
        <f t="shared" si="18"/>
        <v>-1.0802283338944099</v>
      </c>
      <c r="J33" s="129">
        <f t="shared" si="18"/>
        <v>-1.0902568756312112</v>
      </c>
      <c r="K33" s="129">
        <f t="shared" si="18"/>
        <v>-1.1002854173680123</v>
      </c>
      <c r="L33" s="129">
        <f t="shared" si="18"/>
        <v>-1.1103139591048137</v>
      </c>
      <c r="M33" s="129">
        <f t="shared" si="18"/>
        <v>-1.1203425008416148</v>
      </c>
      <c r="N33" s="129">
        <f t="shared" si="18"/>
        <v>-1.1303710425784161</v>
      </c>
      <c r="O33" s="129">
        <f t="shared" si="18"/>
        <v>-1.1403995843152175</v>
      </c>
      <c r="P33" s="129">
        <f t="shared" si="18"/>
        <v>-1.1504281260520186</v>
      </c>
      <c r="Q33" s="129">
        <f t="shared" si="18"/>
        <v>-1.16045666778882</v>
      </c>
      <c r="R33" s="129">
        <f t="shared" si="18"/>
        <v>-1.1704852095256211</v>
      </c>
      <c r="S33" s="129">
        <f t="shared" si="18"/>
        <v>-1.1805137512624224</v>
      </c>
      <c r="T33" s="129">
        <f t="shared" si="18"/>
        <v>-1.1905422929992235</v>
      </c>
      <c r="U33" s="129">
        <f t="shared" si="18"/>
        <v>-1.2005708347360249</v>
      </c>
      <c r="V33" s="129">
        <f t="shared" si="18"/>
        <v>-1.210599376472826</v>
      </c>
      <c r="W33" s="129">
        <f t="shared" si="18"/>
        <v>-1.2206279182096273</v>
      </c>
      <c r="X33" s="129">
        <f t="shared" si="18"/>
        <v>-1.2306564599464285</v>
      </c>
      <c r="Y33" s="129">
        <f t="shared" si="18"/>
        <v>-1.2406850016832298</v>
      </c>
      <c r="Z33" s="129">
        <f t="shared" si="18"/>
        <v>-1.2507135434200312</v>
      </c>
      <c r="AA33" s="129">
        <f t="shared" si="18"/>
        <v>-1.2607420851568323</v>
      </c>
      <c r="AB33" s="129">
        <f t="shared" si="18"/>
        <v>-1.2707706268936336</v>
      </c>
      <c r="AC33" s="129">
        <f t="shared" si="18"/>
        <v>-1.2807991686304347</v>
      </c>
      <c r="AD33" s="129">
        <f t="shared" si="18"/>
        <v>-1.2908277103672361</v>
      </c>
      <c r="AE33" s="129"/>
      <c r="AF33" s="129"/>
      <c r="AG33" s="129"/>
      <c r="AH33" s="129"/>
      <c r="AI33" s="129"/>
    </row>
    <row r="34" spans="1:35" x14ac:dyDescent="0.25">
      <c r="A34" s="5"/>
      <c r="B34" s="5"/>
      <c r="C34" s="5"/>
      <c r="D34" s="5"/>
      <c r="E34" s="5"/>
      <c r="F34" s="5"/>
      <c r="G34" s="5"/>
      <c r="H34" s="5"/>
      <c r="I34" s="5"/>
      <c r="J34" s="5"/>
      <c r="K34" s="5"/>
      <c r="L34" s="5"/>
      <c r="M34" s="5"/>
      <c r="N34" s="5"/>
      <c r="O34" s="5"/>
    </row>
    <row r="35" spans="1:35" x14ac:dyDescent="0.25">
      <c r="A35" s="5"/>
      <c r="B35" s="5"/>
      <c r="C35" s="5"/>
      <c r="D35" s="5"/>
      <c r="E35" s="5"/>
      <c r="F35" s="5"/>
      <c r="G35" s="5"/>
      <c r="H35" s="5"/>
      <c r="I35" s="5"/>
      <c r="J35" s="5"/>
      <c r="K35" s="5"/>
      <c r="L35" s="5"/>
      <c r="M35" s="5"/>
      <c r="N35" s="5"/>
      <c r="O35" s="5"/>
    </row>
    <row r="36" spans="1:35" x14ac:dyDescent="0.25">
      <c r="A36" s="5"/>
      <c r="B36" s="5"/>
      <c r="C36" s="5"/>
      <c r="D36" s="5"/>
      <c r="E36" s="5"/>
      <c r="F36" s="5"/>
      <c r="G36" s="5"/>
      <c r="H36" s="5"/>
      <c r="I36" s="5"/>
      <c r="J36" s="5"/>
      <c r="K36" s="380"/>
      <c r="L36" s="5"/>
      <c r="M36" s="5"/>
      <c r="N36" s="5"/>
      <c r="O36" s="5"/>
    </row>
    <row r="37" spans="1:35" x14ac:dyDescent="0.25">
      <c r="K37" s="380"/>
    </row>
    <row r="38" spans="1:35" x14ac:dyDescent="0.25">
      <c r="K38" s="380"/>
    </row>
    <row r="39" spans="1:35" x14ac:dyDescent="0.25">
      <c r="K39" s="380"/>
    </row>
  </sheetData>
  <mergeCells count="3">
    <mergeCell ref="D2:E2"/>
    <mergeCell ref="F2:G2"/>
    <mergeCell ref="H2:I2"/>
  </mergeCells>
  <conditionalFormatting sqref="B32:AD32">
    <cfRule type="cellIs" dxfId="322" priority="1" operator="lessThan">
      <formula>0</formula>
    </cfRule>
    <cfRule type="cellIs" dxfId="321" priority="2" operator="greaterThan">
      <formula>0</formula>
    </cfRule>
  </conditionalFormatting>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2:Q52"/>
  <sheetViews>
    <sheetView zoomScale="90" zoomScaleNormal="90" workbookViewId="0">
      <selection activeCell="F12" sqref="F12"/>
    </sheetView>
  </sheetViews>
  <sheetFormatPr baseColWidth="10" defaultColWidth="11.42578125" defaultRowHeight="15" x14ac:dyDescent="0.25"/>
  <cols>
    <col min="1" max="1" width="39.140625" customWidth="1"/>
    <col min="2" max="2" width="3" customWidth="1"/>
    <col min="15" max="15" width="6.5703125" customWidth="1"/>
  </cols>
  <sheetData>
    <row r="2" spans="1:17" x14ac:dyDescent="0.25">
      <c r="P2" s="30">
        <v>38939</v>
      </c>
    </row>
    <row r="3" spans="1:17" x14ac:dyDescent="0.25">
      <c r="A3" t="s">
        <v>806</v>
      </c>
      <c r="P3" s="30">
        <f ca="1">TODAY()</f>
        <v>43055</v>
      </c>
    </row>
    <row r="4" spans="1:17" x14ac:dyDescent="0.25">
      <c r="A4">
        <v>-124219</v>
      </c>
      <c r="P4" s="48">
        <f ca="1">P3-P2</f>
        <v>4116</v>
      </c>
      <c r="Q4" s="48" t="s">
        <v>1599</v>
      </c>
    </row>
    <row r="5" spans="1:17" x14ac:dyDescent="0.25">
      <c r="P5" s="422">
        <f ca="1">P4/365</f>
        <v>11.276712328767124</v>
      </c>
      <c r="Q5" s="48" t="s">
        <v>1598</v>
      </c>
    </row>
    <row r="6" spans="1:17" x14ac:dyDescent="0.25">
      <c r="A6" t="s">
        <v>807</v>
      </c>
    </row>
    <row r="9" spans="1:17" x14ac:dyDescent="0.25">
      <c r="A9" t="s">
        <v>1955</v>
      </c>
    </row>
    <row r="11" spans="1:17" x14ac:dyDescent="0.25">
      <c r="A11" s="290" t="s">
        <v>1147</v>
      </c>
    </row>
    <row r="12" spans="1:17" ht="45" x14ac:dyDescent="0.25">
      <c r="A12" s="18" t="s">
        <v>1148</v>
      </c>
    </row>
    <row r="13" spans="1:17" x14ac:dyDescent="0.25">
      <c r="A13" s="290" t="s">
        <v>1149</v>
      </c>
    </row>
    <row r="14" spans="1:17" ht="22.5" x14ac:dyDescent="0.25">
      <c r="A14" s="291" t="s">
        <v>1150</v>
      </c>
    </row>
    <row r="15" spans="1:17" x14ac:dyDescent="0.25">
      <c r="A15" s="290" t="s">
        <v>1151</v>
      </c>
    </row>
    <row r="16" spans="1:17" ht="22.5" x14ac:dyDescent="0.25">
      <c r="A16" s="291" t="s">
        <v>1152</v>
      </c>
    </row>
    <row r="17" spans="1:1" x14ac:dyDescent="0.25">
      <c r="A17" s="290" t="s">
        <v>1153</v>
      </c>
    </row>
    <row r="18" spans="1:1" ht="22.5" x14ac:dyDescent="0.25">
      <c r="A18" s="292" t="s">
        <v>1154</v>
      </c>
    </row>
    <row r="19" spans="1:1" x14ac:dyDescent="0.25">
      <c r="A19" s="290" t="s">
        <v>1155</v>
      </c>
    </row>
    <row r="20" spans="1:1" ht="30" x14ac:dyDescent="0.25">
      <c r="A20" s="18" t="s">
        <v>1156</v>
      </c>
    </row>
    <row r="21" spans="1:1" x14ac:dyDescent="0.25">
      <c r="A21" s="290" t="s">
        <v>1157</v>
      </c>
    </row>
    <row r="22" spans="1:1" ht="22.5" x14ac:dyDescent="0.25">
      <c r="A22" s="291" t="s">
        <v>1158</v>
      </c>
    </row>
    <row r="23" spans="1:1" x14ac:dyDescent="0.25">
      <c r="A23" s="290" t="s">
        <v>1159</v>
      </c>
    </row>
    <row r="24" spans="1:1" ht="30" x14ac:dyDescent="0.25">
      <c r="A24" s="18" t="s">
        <v>1160</v>
      </c>
    </row>
    <row r="25" spans="1:1" x14ac:dyDescent="0.25">
      <c r="A25" s="290" t="s">
        <v>1161</v>
      </c>
    </row>
    <row r="26" spans="1:1" ht="22.5" x14ac:dyDescent="0.25">
      <c r="A26" s="291" t="s">
        <v>1162</v>
      </c>
    </row>
    <row r="27" spans="1:1" x14ac:dyDescent="0.25">
      <c r="A27" s="290" t="s">
        <v>1163</v>
      </c>
    </row>
    <row r="28" spans="1:1" ht="30" x14ac:dyDescent="0.25">
      <c r="A28" s="18" t="s">
        <v>1164</v>
      </c>
    </row>
    <row r="29" spans="1:1" x14ac:dyDescent="0.25">
      <c r="A29" s="290" t="s">
        <v>1165</v>
      </c>
    </row>
    <row r="30" spans="1:1" ht="22.5" x14ac:dyDescent="0.25">
      <c r="A30" s="291" t="s">
        <v>1166</v>
      </c>
    </row>
    <row r="31" spans="1:1" x14ac:dyDescent="0.25">
      <c r="A31" s="290" t="s">
        <v>1167</v>
      </c>
    </row>
    <row r="32" spans="1:1" ht="30" x14ac:dyDescent="0.25">
      <c r="A32" s="18" t="s">
        <v>1168</v>
      </c>
    </row>
    <row r="33" spans="1:1" x14ac:dyDescent="0.25">
      <c r="A33" s="290" t="s">
        <v>1169</v>
      </c>
    </row>
    <row r="34" spans="1:1" ht="22.5" x14ac:dyDescent="0.25">
      <c r="A34" s="291" t="s">
        <v>1170</v>
      </c>
    </row>
    <row r="35" spans="1:1" x14ac:dyDescent="0.25">
      <c r="A35" s="290" t="s">
        <v>1171</v>
      </c>
    </row>
    <row r="36" spans="1:1" ht="30" x14ac:dyDescent="0.25">
      <c r="A36" s="18" t="s">
        <v>1172</v>
      </c>
    </row>
    <row r="37" spans="1:1" x14ac:dyDescent="0.25">
      <c r="A37" s="290" t="s">
        <v>1173</v>
      </c>
    </row>
    <row r="38" spans="1:1" ht="22.5" x14ac:dyDescent="0.25">
      <c r="A38" s="291" t="s">
        <v>1174</v>
      </c>
    </row>
    <row r="39" spans="1:1" x14ac:dyDescent="0.25">
      <c r="A39" s="290" t="s">
        <v>1175</v>
      </c>
    </row>
    <row r="40" spans="1:1" ht="30" x14ac:dyDescent="0.25">
      <c r="A40" s="18" t="s">
        <v>1176</v>
      </c>
    </row>
    <row r="41" spans="1:1" x14ac:dyDescent="0.25">
      <c r="A41" s="290" t="s">
        <v>1177</v>
      </c>
    </row>
    <row r="42" spans="1:1" ht="22.5" x14ac:dyDescent="0.25">
      <c r="A42" s="291" t="s">
        <v>1178</v>
      </c>
    </row>
    <row r="43" spans="1:1" x14ac:dyDescent="0.25">
      <c r="A43" s="290" t="s">
        <v>1179</v>
      </c>
    </row>
    <row r="44" spans="1:1" ht="22.5" x14ac:dyDescent="0.25">
      <c r="A44" s="291" t="s">
        <v>1180</v>
      </c>
    </row>
    <row r="45" spans="1:1" x14ac:dyDescent="0.25">
      <c r="A45" s="290" t="s">
        <v>1181</v>
      </c>
    </row>
    <row r="46" spans="1:1" ht="22.5" x14ac:dyDescent="0.25">
      <c r="A46" s="291" t="s">
        <v>1182</v>
      </c>
    </row>
    <row r="47" spans="1:1" x14ac:dyDescent="0.25">
      <c r="A47" s="290" t="s">
        <v>1183</v>
      </c>
    </row>
    <row r="48" spans="1:1" ht="22.5" x14ac:dyDescent="0.25">
      <c r="A48" s="291" t="s">
        <v>1184</v>
      </c>
    </row>
    <row r="49" spans="1:1" x14ac:dyDescent="0.25">
      <c r="A49" s="290" t="s">
        <v>1185</v>
      </c>
    </row>
    <row r="50" spans="1:1" ht="22.5" x14ac:dyDescent="0.25">
      <c r="A50" s="291" t="s">
        <v>1186</v>
      </c>
    </row>
    <row r="51" spans="1:1" x14ac:dyDescent="0.25">
      <c r="A51" s="290" t="s">
        <v>1187</v>
      </c>
    </row>
    <row r="52" spans="1:1" ht="45" x14ac:dyDescent="0.25">
      <c r="A52" s="18" t="s">
        <v>1188</v>
      </c>
    </row>
  </sheetData>
  <hyperlinks>
    <hyperlink ref="A12" r:id="rId1" tooltip="quetuo" display="http://www88.hattrick.org/Club/Manager/?userId=10626188"/>
    <hyperlink ref="A20" r:id="rId2" display="http://www88.hattrick.org/Club/Matches/Archive.aspx?season=40&amp;TeamID=124219&amp;actiontype=viewcup"/>
    <hyperlink ref="A24" r:id="rId3" display="http://www88.hattrick.org/Club/Matches/Archive.aspx?season=39&amp;TeamID=124219&amp;actiontype=viewcup"/>
    <hyperlink ref="A28" r:id="rId4" display="http://www88.hattrick.org/Club/Matches/Archive.aspx?season=38&amp;TeamID=124219&amp;actiontype=viewcup"/>
    <hyperlink ref="A32" r:id="rId5" display="http://www88.hattrick.org/Club/Matches/Archive.aspx?season=37&amp;TeamID=124219&amp;actiontype=viewcup"/>
    <hyperlink ref="A36" r:id="rId6" display="http://www88.hattrick.org/Club/Matches/Archive.aspx?season=36&amp;TeamID=124219&amp;actiontype=viewcup"/>
    <hyperlink ref="A40" r:id="rId7" display="http://www88.hattrick.org/Club/Matches/Archive.aspx?season=35&amp;TeamID=124219&amp;actiontype=viewcup"/>
    <hyperlink ref="A52" r:id="rId8" tooltip="inca11" display="http://www88.hattrick.org/Club/Manager/?userId=4991317"/>
  </hyperlinks>
  <pageMargins left="0.7" right="0.7" top="0.75" bottom="0.75" header="0.3" footer="0.3"/>
  <pageSetup paperSize="9" orientation="portrait" r:id="rId9"/>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W59"/>
  <sheetViews>
    <sheetView topLeftCell="B1" workbookViewId="0">
      <selection activeCell="F26" sqref="F26"/>
    </sheetView>
  </sheetViews>
  <sheetFormatPr baseColWidth="10" defaultColWidth="11.42578125" defaultRowHeight="15" x14ac:dyDescent="0.25"/>
  <cols>
    <col min="1" max="1" width="12.42578125" style="492" bestFit="1" customWidth="1"/>
    <col min="2" max="2" width="10.85546875" style="492" bestFit="1" customWidth="1"/>
    <col min="3" max="3" width="12" style="492" bestFit="1" customWidth="1"/>
    <col min="4" max="4" width="14.28515625" style="492" bestFit="1" customWidth="1"/>
    <col min="5" max="5" width="9.42578125" style="492" bestFit="1" customWidth="1"/>
    <col min="6" max="6" width="12" style="492" bestFit="1" customWidth="1"/>
    <col min="7" max="7" width="13.7109375" style="492" bestFit="1" customWidth="1"/>
    <col min="8" max="8" width="17.5703125" style="492" bestFit="1" customWidth="1"/>
    <col min="9" max="9" width="17.140625" style="492" bestFit="1" customWidth="1"/>
    <col min="15" max="15" width="12" bestFit="1" customWidth="1"/>
    <col min="17" max="17" width="12" bestFit="1" customWidth="1"/>
  </cols>
  <sheetData>
    <row r="1" spans="1:18" x14ac:dyDescent="0.25">
      <c r="A1" s="16" t="s">
        <v>1767</v>
      </c>
      <c r="B1" s="16" t="s">
        <v>1768</v>
      </c>
      <c r="C1" s="16" t="s">
        <v>1775</v>
      </c>
      <c r="D1" s="16" t="s">
        <v>1769</v>
      </c>
      <c r="E1" s="16" t="s">
        <v>1776</v>
      </c>
      <c r="F1" s="16" t="s">
        <v>1770</v>
      </c>
      <c r="G1" s="16" t="s">
        <v>1774</v>
      </c>
      <c r="H1" s="16" t="s">
        <v>1771</v>
      </c>
      <c r="I1" s="16" t="s">
        <v>1772</v>
      </c>
      <c r="K1" s="17" t="s">
        <v>1773</v>
      </c>
      <c r="L1" s="261" t="s">
        <v>481</v>
      </c>
      <c r="M1" s="17" t="s">
        <v>50</v>
      </c>
      <c r="N1" s="17" t="s">
        <v>879</v>
      </c>
      <c r="O1" s="17" t="s">
        <v>1002</v>
      </c>
      <c r="P1" s="17" t="s">
        <v>1007</v>
      </c>
    </row>
    <row r="2" spans="1:18" x14ac:dyDescent="0.25">
      <c r="A2" s="495">
        <v>36</v>
      </c>
      <c r="B2" s="496">
        <v>280000</v>
      </c>
      <c r="C2" s="496">
        <f>B2</f>
        <v>280000</v>
      </c>
      <c r="D2" s="495">
        <v>8</v>
      </c>
      <c r="E2" s="453">
        <f>D2</f>
        <v>8</v>
      </c>
      <c r="F2" s="496">
        <f>G2/0.95</f>
        <v>641169.47368421056</v>
      </c>
      <c r="G2" s="496">
        <v>609111</v>
      </c>
      <c r="H2" s="496">
        <f t="shared" ref="H2:H9" si="0">G2-B2</f>
        <v>329111</v>
      </c>
      <c r="I2" s="496">
        <f>G2</f>
        <v>609111</v>
      </c>
      <c r="K2" s="262">
        <v>36</v>
      </c>
      <c r="L2" s="50" t="s">
        <v>952</v>
      </c>
      <c r="M2" s="263">
        <v>0</v>
      </c>
      <c r="N2" s="263">
        <v>100000</v>
      </c>
      <c r="O2" s="251">
        <v>100000</v>
      </c>
      <c r="P2" s="264">
        <v>0</v>
      </c>
    </row>
    <row r="3" spans="1:18" x14ac:dyDescent="0.25">
      <c r="A3" s="495">
        <v>37</v>
      </c>
      <c r="B3" s="496">
        <v>320000</v>
      </c>
      <c r="C3" s="496">
        <f>B3+C2</f>
        <v>600000</v>
      </c>
      <c r="D3" s="495">
        <v>5</v>
      </c>
      <c r="E3" s="453">
        <f>D3+E2</f>
        <v>13</v>
      </c>
      <c r="F3" s="496">
        <v>214000</v>
      </c>
      <c r="G3" s="496">
        <v>203300</v>
      </c>
      <c r="H3" s="496">
        <f t="shared" si="0"/>
        <v>-116700</v>
      </c>
      <c r="I3" s="496">
        <f t="shared" ref="I3:I9" si="1">I2+H3</f>
        <v>492411</v>
      </c>
      <c r="K3" s="262">
        <v>36</v>
      </c>
      <c r="L3" s="50" t="s">
        <v>954</v>
      </c>
      <c r="M3" s="263">
        <v>0</v>
      </c>
      <c r="N3" s="263">
        <v>33111</v>
      </c>
      <c r="O3" s="251">
        <v>33111</v>
      </c>
      <c r="P3" s="264">
        <v>0</v>
      </c>
    </row>
    <row r="4" spans="1:18" x14ac:dyDescent="0.25">
      <c r="A4" s="495">
        <v>38</v>
      </c>
      <c r="B4" s="496">
        <v>320000</v>
      </c>
      <c r="C4" s="496">
        <f t="shared" ref="C4:E9" si="2">B4+C3</f>
        <v>920000</v>
      </c>
      <c r="D4" s="495">
        <v>4</v>
      </c>
      <c r="E4" s="453">
        <f t="shared" si="2"/>
        <v>17</v>
      </c>
      <c r="F4" s="496">
        <v>932000</v>
      </c>
      <c r="G4" s="496">
        <v>885400</v>
      </c>
      <c r="H4" s="496">
        <f t="shared" si="0"/>
        <v>565400</v>
      </c>
      <c r="I4" s="496">
        <f t="shared" si="1"/>
        <v>1057811</v>
      </c>
      <c r="K4" s="262">
        <v>36</v>
      </c>
      <c r="L4" s="50" t="s">
        <v>962</v>
      </c>
      <c r="M4" s="263">
        <v>0</v>
      </c>
      <c r="N4" s="263">
        <v>13000</v>
      </c>
      <c r="O4" s="251">
        <v>13000</v>
      </c>
      <c r="P4" s="264">
        <v>0</v>
      </c>
    </row>
    <row r="5" spans="1:18" x14ac:dyDescent="0.25">
      <c r="A5" s="495">
        <v>39</v>
      </c>
      <c r="B5" s="496">
        <v>320000</v>
      </c>
      <c r="C5" s="496">
        <f t="shared" si="2"/>
        <v>1240000</v>
      </c>
      <c r="D5" s="495">
        <v>6</v>
      </c>
      <c r="E5" s="453">
        <f t="shared" si="2"/>
        <v>23</v>
      </c>
      <c r="F5" s="496">
        <v>1316000</v>
      </c>
      <c r="G5" s="496">
        <v>1258850</v>
      </c>
      <c r="H5" s="496">
        <f t="shared" si="0"/>
        <v>938850</v>
      </c>
      <c r="I5" s="496">
        <f t="shared" si="1"/>
        <v>1996661</v>
      </c>
      <c r="K5" s="262">
        <v>36</v>
      </c>
      <c r="L5" s="50" t="s">
        <v>965</v>
      </c>
      <c r="M5" s="263">
        <v>0</v>
      </c>
      <c r="N5" s="263">
        <v>2000</v>
      </c>
      <c r="O5" s="251">
        <v>2000</v>
      </c>
      <c r="P5" s="264">
        <v>0</v>
      </c>
    </row>
    <row r="6" spans="1:18" x14ac:dyDescent="0.25">
      <c r="A6" s="495">
        <v>40</v>
      </c>
      <c r="B6" s="496">
        <v>320000</v>
      </c>
      <c r="C6" s="496">
        <f t="shared" si="2"/>
        <v>1560000</v>
      </c>
      <c r="D6" s="495">
        <v>4</v>
      </c>
      <c r="E6" s="453">
        <f t="shared" si="2"/>
        <v>27</v>
      </c>
      <c r="F6" s="496">
        <v>594800</v>
      </c>
      <c r="G6" s="496">
        <v>565060</v>
      </c>
      <c r="H6" s="496">
        <f t="shared" si="0"/>
        <v>245060</v>
      </c>
      <c r="I6" s="496">
        <f t="shared" si="1"/>
        <v>2241721</v>
      </c>
      <c r="K6" s="262">
        <v>36</v>
      </c>
      <c r="L6" s="50" t="s">
        <v>969</v>
      </c>
      <c r="M6" s="263">
        <v>0</v>
      </c>
      <c r="N6" s="263">
        <v>389000</v>
      </c>
      <c r="O6" s="251">
        <v>389000</v>
      </c>
      <c r="P6" s="264">
        <v>0</v>
      </c>
    </row>
    <row r="7" spans="1:18" x14ac:dyDescent="0.25">
      <c r="A7" s="495">
        <v>41</v>
      </c>
      <c r="B7" s="496">
        <v>320000</v>
      </c>
      <c r="C7" s="496">
        <f t="shared" si="2"/>
        <v>1880000</v>
      </c>
      <c r="D7" s="495">
        <v>6</v>
      </c>
      <c r="E7" s="453">
        <f t="shared" si="2"/>
        <v>33</v>
      </c>
      <c r="F7" s="496">
        <v>2798888</v>
      </c>
      <c r="G7" s="496">
        <v>2658944</v>
      </c>
      <c r="H7" s="496">
        <f t="shared" si="0"/>
        <v>2338944</v>
      </c>
      <c r="I7" s="496">
        <f t="shared" si="1"/>
        <v>4580665</v>
      </c>
      <c r="K7" s="262">
        <v>36</v>
      </c>
      <c r="L7" s="50" t="s">
        <v>977</v>
      </c>
      <c r="M7" s="263">
        <v>0</v>
      </c>
      <c r="N7" s="263">
        <v>12000</v>
      </c>
      <c r="O7" s="251">
        <v>12000</v>
      </c>
      <c r="P7" s="264">
        <v>0</v>
      </c>
    </row>
    <row r="8" spans="1:18" x14ac:dyDescent="0.25">
      <c r="A8" s="495">
        <v>42</v>
      </c>
      <c r="B8" s="496">
        <v>320000</v>
      </c>
      <c r="C8" s="496">
        <f t="shared" si="2"/>
        <v>2200000</v>
      </c>
      <c r="D8" s="495">
        <v>4</v>
      </c>
      <c r="E8" s="453">
        <f t="shared" si="2"/>
        <v>37</v>
      </c>
      <c r="F8" s="496">
        <v>297250</v>
      </c>
      <c r="G8" s="496">
        <v>282388</v>
      </c>
      <c r="H8" s="496">
        <f t="shared" si="0"/>
        <v>-37612</v>
      </c>
      <c r="I8" s="496">
        <f t="shared" si="1"/>
        <v>4543053</v>
      </c>
      <c r="K8" s="262">
        <v>36</v>
      </c>
      <c r="L8" s="50" t="s">
        <v>984</v>
      </c>
      <c r="M8" s="263">
        <v>0</v>
      </c>
      <c r="N8" s="263">
        <v>37000</v>
      </c>
      <c r="O8" s="251">
        <v>37000</v>
      </c>
      <c r="P8" s="264">
        <v>0</v>
      </c>
    </row>
    <row r="9" spans="1:18" x14ac:dyDescent="0.25">
      <c r="A9" s="310">
        <v>43</v>
      </c>
      <c r="B9" s="497">
        <v>320000</v>
      </c>
      <c r="C9" s="497">
        <f>C8+B9</f>
        <v>2520000</v>
      </c>
      <c r="D9" s="310">
        <v>2</v>
      </c>
      <c r="E9" s="453">
        <f t="shared" si="2"/>
        <v>39</v>
      </c>
      <c r="F9" s="497">
        <f>EconomiaT43!C9</f>
        <v>1077395</v>
      </c>
      <c r="G9" s="497">
        <f>F9*0.95</f>
        <v>1023525.25</v>
      </c>
      <c r="H9" s="497">
        <f t="shared" si="0"/>
        <v>703525.25</v>
      </c>
      <c r="I9" s="497">
        <f t="shared" si="1"/>
        <v>5246578.25</v>
      </c>
      <c r="K9" s="262">
        <v>36</v>
      </c>
      <c r="L9" s="50" t="s">
        <v>994</v>
      </c>
      <c r="M9" s="263">
        <v>0</v>
      </c>
      <c r="N9" s="263">
        <v>23000</v>
      </c>
      <c r="O9" s="251">
        <v>23000</v>
      </c>
      <c r="P9" s="264">
        <v>0</v>
      </c>
    </row>
    <row r="10" spans="1:18" x14ac:dyDescent="0.25">
      <c r="B10" s="493"/>
      <c r="C10" s="493"/>
      <c r="F10" s="493"/>
      <c r="G10" s="494"/>
      <c r="H10" s="493"/>
      <c r="I10" s="493"/>
      <c r="K10" s="17" t="s">
        <v>36</v>
      </c>
      <c r="L10" s="17" t="s">
        <v>481</v>
      </c>
      <c r="M10" s="17" t="s">
        <v>50</v>
      </c>
      <c r="N10" s="17" t="s">
        <v>1141</v>
      </c>
      <c r="O10" s="17" t="s">
        <v>879</v>
      </c>
      <c r="P10" s="17" t="s">
        <v>1027</v>
      </c>
      <c r="Q10" s="17" t="s">
        <v>1002</v>
      </c>
      <c r="R10" s="17" t="s">
        <v>1007</v>
      </c>
    </row>
    <row r="11" spans="1:18" x14ac:dyDescent="0.25">
      <c r="B11" s="493"/>
      <c r="C11" s="493"/>
      <c r="F11" s="493"/>
      <c r="G11" s="494"/>
      <c r="H11" s="493"/>
      <c r="I11" s="493"/>
      <c r="K11" s="11">
        <v>37</v>
      </c>
      <c r="L11" s="11" t="s">
        <v>1018</v>
      </c>
      <c r="M11" s="15">
        <v>0</v>
      </c>
      <c r="N11" s="15">
        <v>0</v>
      </c>
      <c r="O11" s="15">
        <v>1000</v>
      </c>
      <c r="P11" s="15">
        <v>50</v>
      </c>
      <c r="Q11" s="15">
        <v>950</v>
      </c>
      <c r="R11" s="15">
        <v>0</v>
      </c>
    </row>
    <row r="12" spans="1:18" x14ac:dyDescent="0.25">
      <c r="A12" s="16" t="s">
        <v>1957</v>
      </c>
      <c r="B12" s="16" t="s">
        <v>1958</v>
      </c>
      <c r="C12" s="16" t="s">
        <v>1959</v>
      </c>
      <c r="D12" s="16" t="s">
        <v>1960</v>
      </c>
      <c r="E12" s="16" t="s">
        <v>1961</v>
      </c>
      <c r="F12" s="16" t="s">
        <v>1962</v>
      </c>
      <c r="G12" s="16" t="s">
        <v>1963</v>
      </c>
      <c r="H12" s="16" t="s">
        <v>1964</v>
      </c>
      <c r="I12" s="16" t="s">
        <v>1965</v>
      </c>
      <c r="K12" s="11">
        <v>37</v>
      </c>
      <c r="L12" s="11" t="s">
        <v>1218</v>
      </c>
      <c r="M12" s="15">
        <v>0</v>
      </c>
      <c r="N12" s="15">
        <v>0</v>
      </c>
      <c r="O12" s="15">
        <v>6000</v>
      </c>
      <c r="P12" s="15">
        <v>300</v>
      </c>
      <c r="Q12" s="15">
        <v>5700</v>
      </c>
      <c r="R12" s="15">
        <v>0</v>
      </c>
    </row>
    <row r="13" spans="1:18" x14ac:dyDescent="0.25">
      <c r="A13" s="553"/>
      <c r="B13" s="493"/>
      <c r="C13" s="493"/>
      <c r="D13" s="553"/>
      <c r="E13" s="553"/>
      <c r="F13" s="493"/>
      <c r="G13" s="493"/>
      <c r="H13" s="493"/>
      <c r="I13" s="493"/>
      <c r="K13" s="11">
        <v>37</v>
      </c>
      <c r="L13" s="11" t="s">
        <v>1220</v>
      </c>
      <c r="M13" s="15">
        <v>0</v>
      </c>
      <c r="N13" s="15">
        <v>0</v>
      </c>
      <c r="O13" s="15">
        <v>15000</v>
      </c>
      <c r="P13" s="15">
        <v>750</v>
      </c>
      <c r="Q13" s="15">
        <v>14250</v>
      </c>
      <c r="R13" s="15">
        <v>0</v>
      </c>
    </row>
    <row r="14" spans="1:18" x14ac:dyDescent="0.25">
      <c r="A14" s="553"/>
      <c r="B14" s="493"/>
      <c r="C14" s="493"/>
      <c r="D14" s="553"/>
      <c r="E14" s="553"/>
      <c r="F14" s="493"/>
      <c r="G14" s="493"/>
      <c r="H14" s="493"/>
      <c r="I14" s="493"/>
      <c r="K14" s="11">
        <v>37</v>
      </c>
      <c r="L14" s="11" t="s">
        <v>1020</v>
      </c>
      <c r="M14" s="15">
        <v>0</v>
      </c>
      <c r="N14" s="15">
        <v>0</v>
      </c>
      <c r="O14" s="15">
        <v>61000</v>
      </c>
      <c r="P14" s="15">
        <v>3050</v>
      </c>
      <c r="Q14" s="15">
        <v>57950</v>
      </c>
      <c r="R14" s="15">
        <v>0</v>
      </c>
    </row>
    <row r="15" spans="1:18" x14ac:dyDescent="0.25">
      <c r="A15" s="553"/>
      <c r="B15" s="493"/>
      <c r="C15" s="493"/>
      <c r="D15" s="553"/>
      <c r="E15" s="553"/>
      <c r="F15" s="493"/>
      <c r="G15" s="493"/>
      <c r="H15" s="493"/>
      <c r="I15" s="493"/>
      <c r="K15" s="11">
        <v>37</v>
      </c>
      <c r="L15" s="11" t="s">
        <v>1222</v>
      </c>
      <c r="M15" s="15">
        <v>0</v>
      </c>
      <c r="N15" s="15">
        <v>0</v>
      </c>
      <c r="O15" s="15">
        <v>131000</v>
      </c>
      <c r="P15" s="15">
        <v>6550</v>
      </c>
      <c r="Q15" s="15">
        <v>124450</v>
      </c>
      <c r="R15" s="15">
        <v>0</v>
      </c>
    </row>
    <row r="16" spans="1:18" x14ac:dyDescent="0.25">
      <c r="A16" s="553"/>
      <c r="B16" s="493"/>
      <c r="C16" s="493"/>
      <c r="D16" s="553"/>
      <c r="E16" s="553"/>
      <c r="F16" s="493"/>
      <c r="G16" s="493"/>
      <c r="H16" s="493"/>
      <c r="I16" s="493"/>
      <c r="K16" s="17" t="s">
        <v>36</v>
      </c>
      <c r="L16" s="17" t="s">
        <v>481</v>
      </c>
      <c r="M16" s="17" t="s">
        <v>50</v>
      </c>
      <c r="N16" s="17" t="s">
        <v>1141</v>
      </c>
      <c r="O16" s="17" t="s">
        <v>879</v>
      </c>
      <c r="P16" s="17" t="s">
        <v>1027</v>
      </c>
      <c r="Q16" s="17" t="s">
        <v>1002</v>
      </c>
      <c r="R16" s="17" t="s">
        <v>1007</v>
      </c>
    </row>
    <row r="17" spans="1:22" x14ac:dyDescent="0.25">
      <c r="A17" s="553"/>
      <c r="B17" s="493"/>
      <c r="C17" s="493"/>
      <c r="D17" s="553"/>
      <c r="E17" s="553"/>
      <c r="F17" s="493"/>
      <c r="G17" s="493"/>
      <c r="H17" s="493"/>
      <c r="I17" s="493"/>
      <c r="K17" s="11">
        <v>38</v>
      </c>
      <c r="L17" s="11" t="s">
        <v>1017</v>
      </c>
      <c r="M17" s="15">
        <v>0</v>
      </c>
      <c r="N17" s="15">
        <v>0</v>
      </c>
      <c r="O17" s="15">
        <v>0</v>
      </c>
      <c r="P17" s="15">
        <v>0</v>
      </c>
      <c r="Q17" s="15">
        <v>0</v>
      </c>
      <c r="R17" s="15">
        <v>0</v>
      </c>
    </row>
    <row r="18" spans="1:22" x14ac:dyDescent="0.25">
      <c r="A18" s="553"/>
      <c r="B18" s="493"/>
      <c r="C18" s="493"/>
      <c r="D18" s="553"/>
      <c r="E18" s="553"/>
      <c r="F18" s="493"/>
      <c r="G18" s="493"/>
      <c r="H18" s="493"/>
      <c r="I18" s="493"/>
      <c r="K18" s="11">
        <v>38</v>
      </c>
      <c r="L18" s="11" t="s">
        <v>1019</v>
      </c>
      <c r="M18" s="15">
        <v>0</v>
      </c>
      <c r="N18" s="15">
        <v>0</v>
      </c>
      <c r="O18" s="15">
        <v>199999</v>
      </c>
      <c r="P18" s="15">
        <v>10000</v>
      </c>
      <c r="Q18" s="15">
        <v>189999</v>
      </c>
      <c r="R18" s="15">
        <v>0</v>
      </c>
    </row>
    <row r="19" spans="1:22" x14ac:dyDescent="0.25">
      <c r="A19" s="553"/>
      <c r="B19" s="493"/>
      <c r="C19" s="493"/>
      <c r="D19" s="553"/>
      <c r="E19" s="553"/>
      <c r="F19" s="493"/>
      <c r="G19" s="493"/>
      <c r="H19" s="493"/>
      <c r="I19" s="493"/>
      <c r="K19" s="11">
        <v>38</v>
      </c>
      <c r="L19" s="11" t="s">
        <v>1247</v>
      </c>
      <c r="M19" s="15">
        <v>0</v>
      </c>
      <c r="N19" s="15">
        <v>0</v>
      </c>
      <c r="O19" s="15">
        <v>0</v>
      </c>
      <c r="P19" s="15">
        <v>0</v>
      </c>
      <c r="Q19" s="15">
        <v>0</v>
      </c>
      <c r="R19" s="15">
        <v>0</v>
      </c>
    </row>
    <row r="20" spans="1:22" x14ac:dyDescent="0.25">
      <c r="A20" s="553"/>
      <c r="B20" s="493"/>
      <c r="C20" s="493"/>
      <c r="D20" s="553"/>
      <c r="E20" s="553"/>
      <c r="F20" s="493"/>
      <c r="G20" s="493"/>
      <c r="H20" s="493"/>
      <c r="I20" s="493"/>
      <c r="K20" s="11">
        <v>38</v>
      </c>
      <c r="L20" s="11" t="s">
        <v>1248</v>
      </c>
      <c r="M20" s="15">
        <v>0</v>
      </c>
      <c r="N20" s="15">
        <v>0</v>
      </c>
      <c r="O20" s="15">
        <v>1000</v>
      </c>
      <c r="P20" s="15">
        <v>50</v>
      </c>
      <c r="Q20" s="15">
        <v>950</v>
      </c>
      <c r="R20" s="15">
        <v>0</v>
      </c>
    </row>
    <row r="21" spans="1:22" x14ac:dyDescent="0.25">
      <c r="A21" s="553"/>
      <c r="B21" s="493"/>
      <c r="C21" s="493"/>
      <c r="D21" s="553"/>
      <c r="E21" s="553"/>
      <c r="F21" s="493"/>
      <c r="G21" s="493"/>
      <c r="H21" s="493"/>
      <c r="I21" s="493"/>
      <c r="K21" s="11">
        <v>38</v>
      </c>
      <c r="L21" s="11" t="s">
        <v>1252</v>
      </c>
      <c r="M21" s="15">
        <v>0</v>
      </c>
      <c r="N21" s="15">
        <v>0</v>
      </c>
      <c r="O21" s="15">
        <v>199000</v>
      </c>
      <c r="P21" s="15">
        <v>9950</v>
      </c>
      <c r="Q21" s="15">
        <v>189050</v>
      </c>
      <c r="R21" s="15">
        <v>0</v>
      </c>
    </row>
    <row r="22" spans="1:22" x14ac:dyDescent="0.25">
      <c r="A22" s="553"/>
      <c r="B22" s="493"/>
      <c r="C22" s="493"/>
      <c r="D22" s="553"/>
      <c r="E22" s="553"/>
      <c r="F22" s="493"/>
      <c r="G22" s="493"/>
      <c r="H22" s="493"/>
      <c r="I22" s="493"/>
      <c r="K22" s="11">
        <v>38</v>
      </c>
      <c r="L22" s="11" t="s">
        <v>1257</v>
      </c>
      <c r="M22" s="15">
        <v>0</v>
      </c>
      <c r="N22" s="15">
        <v>0</v>
      </c>
      <c r="O22" s="15">
        <v>532001</v>
      </c>
      <c r="P22" s="15">
        <v>26600</v>
      </c>
      <c r="Q22" s="15">
        <v>505401</v>
      </c>
      <c r="R22" s="15">
        <v>0</v>
      </c>
    </row>
    <row r="23" spans="1:22" x14ac:dyDescent="0.25">
      <c r="B23" s="493"/>
      <c r="C23" s="493"/>
      <c r="F23" s="493"/>
      <c r="G23" s="493"/>
      <c r="H23" s="493"/>
      <c r="I23" s="493"/>
      <c r="K23" s="11">
        <v>38</v>
      </c>
      <c r="L23" s="11" t="s">
        <v>1266</v>
      </c>
      <c r="M23" s="15">
        <v>0</v>
      </c>
      <c r="N23" s="15">
        <v>0</v>
      </c>
      <c r="O23" s="15">
        <v>0</v>
      </c>
      <c r="P23" s="15">
        <v>0</v>
      </c>
      <c r="Q23" s="15">
        <v>0</v>
      </c>
      <c r="R23" s="15">
        <v>0</v>
      </c>
    </row>
    <row r="24" spans="1:22" x14ac:dyDescent="0.25">
      <c r="F24" s="493"/>
      <c r="G24" s="493"/>
      <c r="H24" s="493"/>
      <c r="I24" s="493"/>
      <c r="K24" s="11">
        <v>38</v>
      </c>
      <c r="L24" s="11" t="s">
        <v>1269</v>
      </c>
      <c r="M24" s="15">
        <v>0</v>
      </c>
      <c r="N24" s="15">
        <v>0</v>
      </c>
      <c r="O24" s="15">
        <v>0</v>
      </c>
      <c r="P24" s="15">
        <v>0</v>
      </c>
      <c r="Q24" s="15">
        <v>0</v>
      </c>
      <c r="R24" s="15">
        <v>0</v>
      </c>
    </row>
    <row r="25" spans="1:22" x14ac:dyDescent="0.25">
      <c r="F25" s="493"/>
      <c r="G25" s="493"/>
      <c r="H25" s="493"/>
      <c r="I25" s="493"/>
      <c r="K25" s="346" t="s">
        <v>36</v>
      </c>
      <c r="L25" s="17" t="s">
        <v>481</v>
      </c>
      <c r="M25" s="17" t="s">
        <v>50</v>
      </c>
      <c r="N25" s="17" t="s">
        <v>1332</v>
      </c>
      <c r="O25" s="17" t="s">
        <v>879</v>
      </c>
      <c r="P25" s="17" t="s">
        <v>1333</v>
      </c>
      <c r="Q25" s="17" t="s">
        <v>950</v>
      </c>
      <c r="R25" s="17" t="s">
        <v>1336</v>
      </c>
      <c r="S25" s="406" t="s">
        <v>1326</v>
      </c>
      <c r="T25" s="345" t="s">
        <v>1337</v>
      </c>
      <c r="U25" s="345" t="s">
        <v>1334</v>
      </c>
      <c r="V25" s="345" t="s">
        <v>1335</v>
      </c>
    </row>
    <row r="26" spans="1:22" x14ac:dyDescent="0.25">
      <c r="F26" s="493"/>
      <c r="G26" s="493"/>
      <c r="H26" s="493"/>
      <c r="I26" s="493"/>
      <c r="K26" s="11">
        <v>39</v>
      </c>
      <c r="L26" s="17" t="s">
        <v>1017</v>
      </c>
      <c r="M26" s="15">
        <v>0</v>
      </c>
      <c r="N26" s="15">
        <v>0</v>
      </c>
      <c r="O26" s="15">
        <v>0</v>
      </c>
      <c r="P26" s="15">
        <v>0</v>
      </c>
      <c r="Q26" s="278">
        <v>0</v>
      </c>
      <c r="R26" s="15">
        <v>0</v>
      </c>
      <c r="S26" s="404"/>
      <c r="T26" s="349"/>
      <c r="U26" s="349"/>
      <c r="V26" s="351"/>
    </row>
    <row r="27" spans="1:22" x14ac:dyDescent="0.25">
      <c r="F27" s="493"/>
      <c r="G27" s="493"/>
      <c r="H27" s="493"/>
      <c r="I27" s="493"/>
      <c r="K27" s="11">
        <v>39</v>
      </c>
      <c r="L27" s="17" t="s">
        <v>1247</v>
      </c>
      <c r="M27" s="15">
        <v>0</v>
      </c>
      <c r="N27" s="15">
        <v>0</v>
      </c>
      <c r="O27" s="15">
        <v>0</v>
      </c>
      <c r="P27" s="15">
        <v>0</v>
      </c>
      <c r="Q27" s="278">
        <v>0</v>
      </c>
      <c r="R27" s="15">
        <v>0</v>
      </c>
      <c r="S27" s="404"/>
      <c r="T27" s="349"/>
      <c r="U27" s="349"/>
      <c r="V27" s="351"/>
    </row>
    <row r="28" spans="1:22" x14ac:dyDescent="0.25">
      <c r="K28" s="11">
        <v>39</v>
      </c>
      <c r="L28" s="337" t="s">
        <v>1266</v>
      </c>
      <c r="M28" s="335">
        <v>0</v>
      </c>
      <c r="N28" s="335">
        <v>0</v>
      </c>
      <c r="O28" s="335">
        <v>1000</v>
      </c>
      <c r="P28" s="335">
        <v>50</v>
      </c>
      <c r="Q28" s="343">
        <v>950</v>
      </c>
      <c r="R28" s="335">
        <v>0</v>
      </c>
      <c r="S28" s="403" t="s">
        <v>1327</v>
      </c>
      <c r="T28" s="348"/>
      <c r="U28" s="348"/>
      <c r="V28" s="350">
        <v>950</v>
      </c>
    </row>
    <row r="29" spans="1:22" x14ac:dyDescent="0.25">
      <c r="K29" s="11">
        <v>39</v>
      </c>
      <c r="L29" s="337" t="s">
        <v>1269</v>
      </c>
      <c r="M29" s="335">
        <v>0</v>
      </c>
      <c r="N29" s="335">
        <v>0</v>
      </c>
      <c r="O29" s="335">
        <v>249000</v>
      </c>
      <c r="P29" s="335">
        <v>12450</v>
      </c>
      <c r="Q29" s="335">
        <v>236550</v>
      </c>
      <c r="R29" s="335">
        <v>0</v>
      </c>
      <c r="S29" s="403" t="s">
        <v>1327</v>
      </c>
      <c r="T29" s="348">
        <v>41315</v>
      </c>
      <c r="U29" s="348">
        <v>41358</v>
      </c>
      <c r="V29" s="350">
        <v>38508.139534883718</v>
      </c>
    </row>
    <row r="30" spans="1:22" x14ac:dyDescent="0.25">
      <c r="K30" s="11">
        <v>39</v>
      </c>
      <c r="L30" s="337" t="s">
        <v>1308</v>
      </c>
      <c r="M30" s="335">
        <v>0</v>
      </c>
      <c r="N30" s="335">
        <v>0</v>
      </c>
      <c r="O30" s="335">
        <v>173000</v>
      </c>
      <c r="P30" s="335">
        <v>0</v>
      </c>
      <c r="Q30" s="343">
        <v>173000</v>
      </c>
      <c r="R30" s="335">
        <v>0</v>
      </c>
      <c r="S30" s="403" t="s">
        <v>1327</v>
      </c>
      <c r="T30" s="348"/>
      <c r="U30" s="348"/>
      <c r="V30" s="350">
        <v>173000</v>
      </c>
    </row>
    <row r="31" spans="1:22" x14ac:dyDescent="0.25">
      <c r="K31" s="11">
        <v>39</v>
      </c>
      <c r="L31" s="17" t="s">
        <v>1340</v>
      </c>
      <c r="M31" s="15">
        <v>0</v>
      </c>
      <c r="N31" s="15">
        <v>0</v>
      </c>
      <c r="O31" s="15">
        <v>0</v>
      </c>
      <c r="P31" s="15">
        <v>0</v>
      </c>
      <c r="Q31" s="278">
        <v>0</v>
      </c>
      <c r="R31" s="15">
        <v>0</v>
      </c>
      <c r="S31" s="404"/>
      <c r="T31" s="349">
        <v>41321</v>
      </c>
      <c r="U31" s="349"/>
      <c r="V31" s="351"/>
    </row>
    <row r="32" spans="1:22" x14ac:dyDescent="0.25">
      <c r="K32" s="11">
        <v>39</v>
      </c>
      <c r="L32" s="17" t="s">
        <v>1388</v>
      </c>
      <c r="M32" s="15">
        <v>0</v>
      </c>
      <c r="N32" s="15">
        <v>0</v>
      </c>
      <c r="O32" s="15">
        <v>0</v>
      </c>
      <c r="P32" s="15">
        <v>0</v>
      </c>
      <c r="Q32" s="278">
        <v>0</v>
      </c>
      <c r="R32" s="15">
        <v>0</v>
      </c>
      <c r="S32" s="404"/>
      <c r="T32" s="349">
        <v>41321</v>
      </c>
      <c r="U32" s="349"/>
      <c r="V32" s="351"/>
    </row>
    <row r="33" spans="11:22" x14ac:dyDescent="0.25">
      <c r="K33" s="11">
        <v>39</v>
      </c>
      <c r="L33" s="337" t="s">
        <v>1508</v>
      </c>
      <c r="M33" s="335">
        <v>0</v>
      </c>
      <c r="N33" s="335">
        <v>0</v>
      </c>
      <c r="O33" s="335">
        <v>275000</v>
      </c>
      <c r="P33" s="335">
        <v>13750</v>
      </c>
      <c r="Q33" s="335">
        <v>261250</v>
      </c>
      <c r="R33" s="335">
        <v>0</v>
      </c>
      <c r="S33" s="403" t="s">
        <v>1327</v>
      </c>
      <c r="T33" s="348">
        <v>41367</v>
      </c>
      <c r="U33" s="348">
        <v>41370</v>
      </c>
      <c r="V33" s="353">
        <v>261250</v>
      </c>
    </row>
    <row r="34" spans="11:22" x14ac:dyDescent="0.25">
      <c r="K34" s="11">
        <v>39</v>
      </c>
      <c r="L34" s="337" t="s">
        <v>1510</v>
      </c>
      <c r="M34" s="335">
        <v>0</v>
      </c>
      <c r="N34" s="335">
        <v>0</v>
      </c>
      <c r="O34" s="335">
        <v>614000</v>
      </c>
      <c r="P34" s="335">
        <v>30700</v>
      </c>
      <c r="Q34" s="335">
        <v>583300</v>
      </c>
      <c r="R34" s="335">
        <v>0</v>
      </c>
      <c r="S34" s="403" t="s">
        <v>1327</v>
      </c>
      <c r="T34" s="348">
        <v>41370</v>
      </c>
      <c r="U34" s="348">
        <v>41373</v>
      </c>
      <c r="V34" s="353">
        <v>583300</v>
      </c>
    </row>
    <row r="35" spans="11:22" x14ac:dyDescent="0.25">
      <c r="K35" s="11">
        <v>39</v>
      </c>
      <c r="L35" s="337" t="s">
        <v>1580</v>
      </c>
      <c r="M35" s="335">
        <v>0</v>
      </c>
      <c r="N35" s="335">
        <v>0</v>
      </c>
      <c r="O35" s="335">
        <v>4000</v>
      </c>
      <c r="P35" s="335">
        <v>200</v>
      </c>
      <c r="Q35" s="335">
        <v>3800</v>
      </c>
      <c r="R35" s="335">
        <v>0</v>
      </c>
      <c r="S35" s="403" t="s">
        <v>1327</v>
      </c>
      <c r="T35" s="348">
        <v>41321</v>
      </c>
      <c r="U35" s="348">
        <v>41397</v>
      </c>
      <c r="V35" s="353">
        <v>3800</v>
      </c>
    </row>
    <row r="36" spans="11:22" x14ac:dyDescent="0.25">
      <c r="K36" s="346" t="s">
        <v>36</v>
      </c>
      <c r="L36" s="17" t="s">
        <v>481</v>
      </c>
      <c r="M36" s="17" t="s">
        <v>50</v>
      </c>
      <c r="N36" s="17" t="s">
        <v>1332</v>
      </c>
      <c r="O36" s="17" t="s">
        <v>879</v>
      </c>
      <c r="P36" s="17" t="s">
        <v>1333</v>
      </c>
      <c r="Q36" s="17" t="s">
        <v>950</v>
      </c>
      <c r="R36" s="17" t="s">
        <v>1336</v>
      </c>
      <c r="S36" s="406" t="s">
        <v>1326</v>
      </c>
      <c r="T36" s="345" t="s">
        <v>1337</v>
      </c>
      <c r="U36" s="345" t="s">
        <v>1334</v>
      </c>
      <c r="V36" s="345" t="s">
        <v>1335</v>
      </c>
    </row>
    <row r="37" spans="11:22" x14ac:dyDescent="0.25">
      <c r="K37" s="11">
        <v>40</v>
      </c>
      <c r="L37" s="17" t="s">
        <v>1017</v>
      </c>
      <c r="M37" s="15">
        <v>0</v>
      </c>
      <c r="N37" s="15"/>
      <c r="O37" s="15">
        <v>0</v>
      </c>
      <c r="P37" s="15">
        <v>0</v>
      </c>
      <c r="Q37" s="278">
        <v>0</v>
      </c>
      <c r="R37" s="15">
        <v>0</v>
      </c>
      <c r="S37" s="404"/>
      <c r="T37" s="349"/>
      <c r="U37" s="349"/>
      <c r="V37" s="351"/>
    </row>
    <row r="38" spans="11:22" x14ac:dyDescent="0.25">
      <c r="K38" s="11">
        <v>40</v>
      </c>
      <c r="L38" s="17" t="s">
        <v>1247</v>
      </c>
      <c r="M38" s="15">
        <v>0</v>
      </c>
      <c r="N38" s="15"/>
      <c r="O38" s="15">
        <v>0</v>
      </c>
      <c r="P38" s="15">
        <v>0</v>
      </c>
      <c r="Q38" s="278">
        <v>0</v>
      </c>
      <c r="R38" s="15">
        <v>0</v>
      </c>
      <c r="S38" s="404"/>
      <c r="T38" s="349"/>
      <c r="U38" s="349"/>
      <c r="V38" s="351"/>
    </row>
    <row r="39" spans="11:22" x14ac:dyDescent="0.25">
      <c r="K39" s="11">
        <v>40</v>
      </c>
      <c r="L39" s="17" t="s">
        <v>1340</v>
      </c>
      <c r="M39" s="15">
        <v>0</v>
      </c>
      <c r="N39" s="15"/>
      <c r="O39" s="15">
        <v>0</v>
      </c>
      <c r="P39" s="15">
        <v>0</v>
      </c>
      <c r="Q39" s="278">
        <v>0</v>
      </c>
      <c r="R39" s="15">
        <v>0</v>
      </c>
      <c r="S39" s="404"/>
      <c r="T39" s="349">
        <v>41321</v>
      </c>
      <c r="U39" s="349"/>
      <c r="V39" s="351"/>
    </row>
    <row r="40" spans="11:22" x14ac:dyDescent="0.25">
      <c r="K40" s="11">
        <v>40</v>
      </c>
      <c r="L40" s="17" t="s">
        <v>1388</v>
      </c>
      <c r="M40" s="15">
        <v>0</v>
      </c>
      <c r="N40" s="15"/>
      <c r="O40" s="15">
        <v>0</v>
      </c>
      <c r="P40" s="15">
        <v>0</v>
      </c>
      <c r="Q40" s="278">
        <v>0</v>
      </c>
      <c r="R40" s="15">
        <v>0</v>
      </c>
      <c r="S40" s="404"/>
      <c r="T40" s="349">
        <v>41321</v>
      </c>
      <c r="U40" s="349"/>
      <c r="V40" s="351"/>
    </row>
    <row r="41" spans="11:22" x14ac:dyDescent="0.25">
      <c r="K41" s="11">
        <v>40</v>
      </c>
      <c r="L41" s="435" t="s">
        <v>1597</v>
      </c>
      <c r="M41" s="436">
        <v>0</v>
      </c>
      <c r="N41" s="436"/>
      <c r="O41" s="436">
        <v>400000</v>
      </c>
      <c r="P41" s="436">
        <v>20000</v>
      </c>
      <c r="Q41" s="436">
        <v>380000</v>
      </c>
      <c r="R41" s="436">
        <v>0</v>
      </c>
      <c r="S41" s="437"/>
      <c r="T41" s="438">
        <v>41412</v>
      </c>
      <c r="U41" s="438">
        <v>41415</v>
      </c>
      <c r="V41" s="351"/>
    </row>
    <row r="42" spans="11:22" x14ac:dyDescent="0.25">
      <c r="K42" s="11">
        <v>40</v>
      </c>
      <c r="L42" s="435" t="s">
        <v>1609</v>
      </c>
      <c r="M42" s="436">
        <v>0</v>
      </c>
      <c r="N42" s="436"/>
      <c r="O42" s="436">
        <v>1000</v>
      </c>
      <c r="P42" s="436">
        <v>50</v>
      </c>
      <c r="Q42" s="436">
        <v>950</v>
      </c>
      <c r="R42" s="436">
        <v>0</v>
      </c>
      <c r="S42" s="437"/>
      <c r="T42" s="438">
        <v>41452</v>
      </c>
      <c r="U42" s="438">
        <v>41455</v>
      </c>
      <c r="V42" s="351"/>
    </row>
    <row r="43" spans="11:22" x14ac:dyDescent="0.25">
      <c r="K43" s="11">
        <v>40</v>
      </c>
      <c r="L43" s="435" t="s">
        <v>1610</v>
      </c>
      <c r="M43" s="436">
        <v>0</v>
      </c>
      <c r="N43" s="436"/>
      <c r="O43" s="436">
        <v>103020</v>
      </c>
      <c r="P43" s="436">
        <v>5151</v>
      </c>
      <c r="Q43" s="436">
        <v>97869</v>
      </c>
      <c r="R43" s="436">
        <v>0</v>
      </c>
      <c r="S43" s="437"/>
      <c r="T43" s="438">
        <v>41457</v>
      </c>
      <c r="U43" s="438">
        <v>41460</v>
      </c>
      <c r="V43" s="351"/>
    </row>
    <row r="44" spans="11:22" x14ac:dyDescent="0.25">
      <c r="K44" s="11">
        <v>40</v>
      </c>
      <c r="L44" s="435" t="s">
        <v>1617</v>
      </c>
      <c r="M44" s="436">
        <v>0</v>
      </c>
      <c r="N44" s="436"/>
      <c r="O44" s="436">
        <v>90780</v>
      </c>
      <c r="P44" s="436">
        <v>4539</v>
      </c>
      <c r="Q44" s="436">
        <v>86241</v>
      </c>
      <c r="R44" s="436">
        <v>0</v>
      </c>
      <c r="S44" s="437"/>
      <c r="T44" s="438">
        <v>41457</v>
      </c>
      <c r="U44" s="438">
        <v>41490</v>
      </c>
      <c r="V44" s="351"/>
    </row>
    <row r="45" spans="11:22" x14ac:dyDescent="0.25">
      <c r="K45" s="346" t="s">
        <v>36</v>
      </c>
      <c r="L45" s="17" t="s">
        <v>481</v>
      </c>
      <c r="M45" s="17" t="s">
        <v>50</v>
      </c>
      <c r="N45" s="17" t="s">
        <v>1332</v>
      </c>
      <c r="O45" s="17" t="s">
        <v>879</v>
      </c>
      <c r="P45" s="17" t="s">
        <v>1333</v>
      </c>
      <c r="Q45" s="17" t="s">
        <v>950</v>
      </c>
      <c r="R45" s="17" t="s">
        <v>1336</v>
      </c>
      <c r="S45" s="406" t="s">
        <v>1326</v>
      </c>
      <c r="T45" s="345" t="s">
        <v>1337</v>
      </c>
      <c r="U45" s="345" t="s">
        <v>1334</v>
      </c>
      <c r="V45" s="345" t="s">
        <v>1335</v>
      </c>
    </row>
    <row r="46" spans="11:22" x14ac:dyDescent="0.25">
      <c r="K46" s="334">
        <v>41</v>
      </c>
      <c r="L46" s="337" t="s">
        <v>1621</v>
      </c>
      <c r="M46" s="335">
        <v>0</v>
      </c>
      <c r="N46" s="335"/>
      <c r="O46" s="335">
        <v>574260</v>
      </c>
      <c r="P46" s="335">
        <v>28713</v>
      </c>
      <c r="Q46" s="335">
        <v>545547</v>
      </c>
      <c r="R46" s="335">
        <v>0</v>
      </c>
      <c r="S46" s="441" t="s">
        <v>1327</v>
      </c>
      <c r="T46" s="348"/>
      <c r="U46" s="348">
        <v>41530</v>
      </c>
      <c r="V46" s="353">
        <v>91.953503491451954</v>
      </c>
    </row>
    <row r="47" spans="11:22" x14ac:dyDescent="0.25">
      <c r="K47" s="334">
        <v>41</v>
      </c>
      <c r="L47" s="337" t="s">
        <v>1622</v>
      </c>
      <c r="M47" s="335">
        <v>0</v>
      </c>
      <c r="N47" s="335"/>
      <c r="O47" s="335">
        <v>738628</v>
      </c>
      <c r="P47" s="335">
        <v>36931</v>
      </c>
      <c r="Q47" s="335">
        <v>701697</v>
      </c>
      <c r="R47" s="335">
        <v>0</v>
      </c>
      <c r="S47" s="441" t="s">
        <v>1327</v>
      </c>
      <c r="T47" s="348"/>
      <c r="U47" s="348">
        <v>41442</v>
      </c>
      <c r="V47" s="353">
        <v>118.52417836976979</v>
      </c>
    </row>
    <row r="48" spans="11:22" x14ac:dyDescent="0.25">
      <c r="K48" s="334">
        <v>41</v>
      </c>
      <c r="L48" s="337" t="s">
        <v>1623</v>
      </c>
      <c r="M48" s="335">
        <v>0</v>
      </c>
      <c r="N48" s="335"/>
      <c r="O48" s="335">
        <v>3000</v>
      </c>
      <c r="P48" s="335">
        <v>150</v>
      </c>
      <c r="Q48" s="335">
        <v>2850</v>
      </c>
      <c r="R48" s="335">
        <v>0</v>
      </c>
      <c r="S48" s="441" t="s">
        <v>1327</v>
      </c>
      <c r="T48" s="348"/>
      <c r="U48" s="348">
        <v>41541</v>
      </c>
      <c r="V48" s="353">
        <v>0.48024842926265615</v>
      </c>
    </row>
    <row r="49" spans="11:23" x14ac:dyDescent="0.25">
      <c r="K49" s="334">
        <v>41</v>
      </c>
      <c r="L49" s="337" t="s">
        <v>1667</v>
      </c>
      <c r="M49" s="335">
        <v>0</v>
      </c>
      <c r="N49" s="335"/>
      <c r="O49" s="335">
        <v>13000</v>
      </c>
      <c r="P49" s="335">
        <v>650</v>
      </c>
      <c r="Q49" s="335">
        <v>12350</v>
      </c>
      <c r="R49" s="335">
        <v>0</v>
      </c>
      <c r="S49" s="441" t="s">
        <v>1327</v>
      </c>
      <c r="T49" s="348"/>
      <c r="U49" s="348">
        <v>41551</v>
      </c>
      <c r="V49" s="353">
        <v>2.0805756780823565</v>
      </c>
    </row>
    <row r="50" spans="11:23" x14ac:dyDescent="0.25">
      <c r="K50" s="334">
        <v>41</v>
      </c>
      <c r="L50" s="337" t="s">
        <v>1668</v>
      </c>
      <c r="M50" s="335">
        <v>0</v>
      </c>
      <c r="N50" s="335"/>
      <c r="O50" s="335">
        <v>1449000</v>
      </c>
      <c r="P50" s="335">
        <v>72450</v>
      </c>
      <c r="Q50" s="335">
        <v>1376550</v>
      </c>
      <c r="R50" s="335">
        <v>0</v>
      </c>
      <c r="S50" s="441" t="s">
        <v>1327</v>
      </c>
      <c r="T50" s="348"/>
      <c r="U50" s="348">
        <v>41559</v>
      </c>
      <c r="V50" s="353">
        <v>231.85952501263264</v>
      </c>
    </row>
    <row r="51" spans="11:23" x14ac:dyDescent="0.25">
      <c r="K51" s="334">
        <v>41</v>
      </c>
      <c r="L51" s="337" t="s">
        <v>1675</v>
      </c>
      <c r="M51" s="335">
        <v>0</v>
      </c>
      <c r="N51" s="335"/>
      <c r="O51" s="335">
        <v>21000</v>
      </c>
      <c r="P51" s="335">
        <v>1050</v>
      </c>
      <c r="Q51" s="335">
        <v>19950</v>
      </c>
      <c r="R51" s="335">
        <v>0</v>
      </c>
      <c r="S51" s="441" t="s">
        <v>1327</v>
      </c>
      <c r="T51" s="348"/>
      <c r="U51" s="348">
        <v>41585</v>
      </c>
      <c r="V51" s="353">
        <v>3.3581820367921127</v>
      </c>
    </row>
    <row r="52" spans="11:23" x14ac:dyDescent="0.25">
      <c r="K52" s="346" t="s">
        <v>36</v>
      </c>
      <c r="L52" s="17" t="s">
        <v>481</v>
      </c>
      <c r="M52" s="17" t="s">
        <v>50</v>
      </c>
      <c r="N52" s="17" t="s">
        <v>1332</v>
      </c>
      <c r="O52" s="17" t="s">
        <v>879</v>
      </c>
      <c r="P52" s="17" t="s">
        <v>1726</v>
      </c>
      <c r="Q52" s="17" t="s">
        <v>1333</v>
      </c>
      <c r="R52" s="17" t="s">
        <v>950</v>
      </c>
      <c r="S52" s="17" t="s">
        <v>1336</v>
      </c>
      <c r="T52" s="406" t="s">
        <v>1326</v>
      </c>
      <c r="U52" s="345" t="s">
        <v>1337</v>
      </c>
      <c r="V52" s="345" t="s">
        <v>1334</v>
      </c>
      <c r="W52" s="345" t="s">
        <v>1335</v>
      </c>
    </row>
    <row r="53" spans="11:23" x14ac:dyDescent="0.25">
      <c r="K53" s="334">
        <v>42</v>
      </c>
      <c r="L53" s="337" t="s">
        <v>1688</v>
      </c>
      <c r="M53" s="335">
        <v>0</v>
      </c>
      <c r="N53" s="335"/>
      <c r="O53" s="335">
        <v>25000</v>
      </c>
      <c r="P53" s="475">
        <v>0.05</v>
      </c>
      <c r="Q53" s="335">
        <v>1250</v>
      </c>
      <c r="R53" s="335">
        <v>23750</v>
      </c>
      <c r="S53" s="335">
        <v>0</v>
      </c>
      <c r="T53" s="405" t="s">
        <v>1327</v>
      </c>
      <c r="U53" s="348">
        <v>41624</v>
      </c>
      <c r="V53" s="348">
        <v>41636</v>
      </c>
      <c r="W53" s="353">
        <v>23750</v>
      </c>
    </row>
    <row r="54" spans="11:23" x14ac:dyDescent="0.25">
      <c r="K54" s="334">
        <v>42</v>
      </c>
      <c r="L54" s="337" t="s">
        <v>1693</v>
      </c>
      <c r="M54" s="335">
        <v>0</v>
      </c>
      <c r="N54" s="335">
        <v>0</v>
      </c>
      <c r="O54" s="335">
        <v>1000</v>
      </c>
      <c r="P54" s="475">
        <v>0.05</v>
      </c>
      <c r="Q54" s="335">
        <v>50</v>
      </c>
      <c r="R54" s="335">
        <v>950</v>
      </c>
      <c r="S54" s="335">
        <v>0</v>
      </c>
      <c r="T54" s="405" t="s">
        <v>1327</v>
      </c>
      <c r="U54" s="348">
        <v>41677</v>
      </c>
      <c r="V54" s="348">
        <v>41680</v>
      </c>
      <c r="W54" s="353">
        <v>950</v>
      </c>
    </row>
    <row r="55" spans="11:23" x14ac:dyDescent="0.25">
      <c r="K55" s="334">
        <v>42</v>
      </c>
      <c r="L55" s="337" t="s">
        <v>1694</v>
      </c>
      <c r="M55" s="335">
        <v>0</v>
      </c>
      <c r="N55" s="335">
        <v>0</v>
      </c>
      <c r="O55" s="335">
        <v>89250</v>
      </c>
      <c r="P55" s="475">
        <v>4.9994397759103644E-2</v>
      </c>
      <c r="Q55" s="335">
        <v>4462</v>
      </c>
      <c r="R55" s="335">
        <v>84788</v>
      </c>
      <c r="S55" s="335">
        <v>0</v>
      </c>
      <c r="T55" s="405" t="s">
        <v>1327</v>
      </c>
      <c r="U55" s="348">
        <v>41681</v>
      </c>
      <c r="V55" s="348">
        <v>41684</v>
      </c>
      <c r="W55" s="353">
        <v>84788</v>
      </c>
    </row>
    <row r="56" spans="11:23" x14ac:dyDescent="0.25">
      <c r="K56" s="334">
        <v>42</v>
      </c>
      <c r="L56" s="337" t="s">
        <v>1707</v>
      </c>
      <c r="M56" s="335">
        <v>0</v>
      </c>
      <c r="N56" s="335">
        <v>0</v>
      </c>
      <c r="O56" s="335">
        <v>182000</v>
      </c>
      <c r="P56" s="475">
        <v>0.05</v>
      </c>
      <c r="Q56" s="335">
        <v>9100</v>
      </c>
      <c r="R56" s="335">
        <v>172900</v>
      </c>
      <c r="S56" s="335">
        <v>0</v>
      </c>
      <c r="T56" s="405" t="s">
        <v>1327</v>
      </c>
      <c r="U56" s="348">
        <v>41734</v>
      </c>
      <c r="V56" s="348">
        <v>41737</v>
      </c>
      <c r="W56" s="353">
        <v>172900</v>
      </c>
    </row>
    <row r="57" spans="11:23" x14ac:dyDescent="0.25">
      <c r="K57" s="346" t="s">
        <v>36</v>
      </c>
      <c r="L57" s="17" t="s">
        <v>481</v>
      </c>
      <c r="M57" s="17" t="s">
        <v>50</v>
      </c>
      <c r="N57" s="17" t="s">
        <v>1332</v>
      </c>
      <c r="O57" s="17" t="s">
        <v>879</v>
      </c>
      <c r="P57" s="17" t="s">
        <v>1726</v>
      </c>
      <c r="Q57" s="17" t="s">
        <v>1333</v>
      </c>
      <c r="R57" s="17" t="s">
        <v>950</v>
      </c>
      <c r="S57" s="17" t="s">
        <v>1336</v>
      </c>
      <c r="T57" s="406" t="s">
        <v>1326</v>
      </c>
      <c r="U57" s="345" t="s">
        <v>1337</v>
      </c>
      <c r="V57" s="345" t="s">
        <v>1334</v>
      </c>
      <c r="W57" s="345" t="s">
        <v>1335</v>
      </c>
    </row>
    <row r="58" spans="11:23" x14ac:dyDescent="0.25">
      <c r="K58" s="334">
        <v>43</v>
      </c>
      <c r="L58" s="337" t="s">
        <v>1729</v>
      </c>
      <c r="M58" s="335">
        <v>0</v>
      </c>
      <c r="N58" s="335"/>
      <c r="O58" s="335">
        <v>313000</v>
      </c>
      <c r="P58" s="475">
        <v>0.05</v>
      </c>
      <c r="Q58" s="335">
        <f>O58-297350</f>
        <v>15650</v>
      </c>
      <c r="R58" s="335">
        <f>IF(O58=0,0,O58-M58)-Q58</f>
        <v>297350</v>
      </c>
      <c r="S58" s="335">
        <f t="shared" ref="S58:S59" si="3">IF(O58=0,M58,0)</f>
        <v>0</v>
      </c>
      <c r="T58" s="405" t="s">
        <v>1327</v>
      </c>
      <c r="U58" s="348">
        <v>41767</v>
      </c>
      <c r="V58" s="348">
        <v>41770</v>
      </c>
      <c r="W58" s="405" t="s">
        <v>1327</v>
      </c>
    </row>
    <row r="59" spans="11:23" x14ac:dyDescent="0.25">
      <c r="K59" s="334">
        <v>43</v>
      </c>
      <c r="L59" s="337" t="s">
        <v>1766</v>
      </c>
      <c r="M59" s="335">
        <v>0</v>
      </c>
      <c r="N59" s="335"/>
      <c r="O59" s="335">
        <v>821100</v>
      </c>
      <c r="P59" s="475">
        <v>0.05</v>
      </c>
      <c r="Q59" s="335">
        <f>O59-780045</f>
        <v>41055</v>
      </c>
      <c r="R59" s="335">
        <f>IF(O59=0,0,O59-M59)-Q59</f>
        <v>780045</v>
      </c>
      <c r="S59" s="335">
        <f t="shared" si="3"/>
        <v>0</v>
      </c>
      <c r="T59" s="405" t="s">
        <v>1327</v>
      </c>
      <c r="U59" s="348">
        <v>41798</v>
      </c>
      <c r="V59" s="348">
        <v>41801</v>
      </c>
      <c r="W59" s="405" t="s">
        <v>1327</v>
      </c>
    </row>
  </sheetData>
  <conditionalFormatting sqref="Q26:Q35 V26:V35 S26:S35 Q37:Q44 S37:S44 V37:V44 Q46:Q51 V46:V51 S46:S51 R53:R56 T53:T56 H2:I8 H9:H10 I9">
    <cfRule type="cellIs" dxfId="320" priority="71" operator="lessThan">
      <formula>0</formula>
    </cfRule>
    <cfRule type="cellIs" dxfId="319" priority="72" operator="greaterThan">
      <formula>0</formula>
    </cfRule>
  </conditionalFormatting>
  <conditionalFormatting sqref="W53">
    <cfRule type="cellIs" dxfId="318" priority="27" operator="lessThan">
      <formula>0</formula>
    </cfRule>
    <cfRule type="cellIs" dxfId="317" priority="28" operator="greaterThan">
      <formula>0</formula>
    </cfRule>
  </conditionalFormatting>
  <conditionalFormatting sqref="W54">
    <cfRule type="cellIs" dxfId="316" priority="25" operator="lessThan">
      <formula>0</formula>
    </cfRule>
    <cfRule type="cellIs" dxfId="315" priority="26" operator="greaterThan">
      <formula>0</formula>
    </cfRule>
  </conditionalFormatting>
  <conditionalFormatting sqref="W55">
    <cfRule type="cellIs" dxfId="314" priority="23" operator="lessThan">
      <formula>0</formula>
    </cfRule>
    <cfRule type="cellIs" dxfId="313" priority="24" operator="greaterThan">
      <formula>0</formula>
    </cfRule>
  </conditionalFormatting>
  <conditionalFormatting sqref="W56">
    <cfRule type="cellIs" dxfId="312" priority="21" operator="lessThan">
      <formula>0</formula>
    </cfRule>
    <cfRule type="cellIs" dxfId="311" priority="22" operator="greaterThan">
      <formula>0</formula>
    </cfRule>
  </conditionalFormatting>
  <conditionalFormatting sqref="W56">
    <cfRule type="cellIs" dxfId="310" priority="19" operator="lessThan">
      <formula>0</formula>
    </cfRule>
    <cfRule type="cellIs" dxfId="309" priority="20" operator="greaterThan">
      <formula>0</formula>
    </cfRule>
  </conditionalFormatting>
  <conditionalFormatting sqref="W55">
    <cfRule type="cellIs" dxfId="308" priority="17" operator="lessThan">
      <formula>0</formula>
    </cfRule>
    <cfRule type="cellIs" dxfId="307" priority="18" operator="greaterThan">
      <formula>0</formula>
    </cfRule>
  </conditionalFormatting>
  <conditionalFormatting sqref="W55">
    <cfRule type="cellIs" dxfId="306" priority="15" operator="lessThan">
      <formula>0</formula>
    </cfRule>
    <cfRule type="cellIs" dxfId="305" priority="16" operator="greaterThan">
      <formula>0</formula>
    </cfRule>
  </conditionalFormatting>
  <conditionalFormatting sqref="W54">
    <cfRule type="cellIs" dxfId="304" priority="13" operator="lessThan">
      <formula>0</formula>
    </cfRule>
    <cfRule type="cellIs" dxfId="303" priority="14" operator="greaterThan">
      <formula>0</formula>
    </cfRule>
  </conditionalFormatting>
  <conditionalFormatting sqref="W54">
    <cfRule type="cellIs" dxfId="302" priority="11" operator="lessThan">
      <formula>0</formula>
    </cfRule>
    <cfRule type="cellIs" dxfId="301" priority="12" operator="greaterThan">
      <formula>0</formula>
    </cfRule>
  </conditionalFormatting>
  <conditionalFormatting sqref="R58:R59 W58:W59 T58:T59">
    <cfRule type="cellIs" dxfId="300" priority="1" operator="lessThan">
      <formula>0</formula>
    </cfRule>
    <cfRule type="cellIs" dxfId="299" priority="2" operator="greaterThan">
      <formula>0</formula>
    </cfRule>
  </conditionalFormatting>
  <pageMargins left="0.7" right="0.7" top="0.75" bottom="0.75" header="0.3" footer="0.3"/>
  <pageSetup paperSize="9" orientation="portrait" r:id="rId1"/>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O5" sqref="O5"/>
    </sheetView>
  </sheetViews>
  <sheetFormatPr baseColWidth="10" defaultColWidth="11.42578125" defaultRowHeight="15" x14ac:dyDescent="0.25"/>
  <cols>
    <col min="1" max="1" width="14.28515625" bestFit="1" customWidth="1"/>
    <col min="2" max="2" width="7" bestFit="1" customWidth="1"/>
  </cols>
  <sheetData>
    <row r="1" spans="1:5" x14ac:dyDescent="0.25">
      <c r="A1" t="s">
        <v>2101</v>
      </c>
    </row>
    <row r="2" spans="1:5" x14ac:dyDescent="0.25">
      <c r="A2" t="s">
        <v>2255</v>
      </c>
      <c r="B2">
        <v>134520</v>
      </c>
    </row>
    <row r="3" spans="1:5" x14ac:dyDescent="0.25">
      <c r="A3" t="s">
        <v>2256</v>
      </c>
      <c r="B3">
        <v>116140</v>
      </c>
      <c r="D3">
        <f>B3-B2</f>
        <v>-18380</v>
      </c>
    </row>
    <row r="4" spans="1:5" x14ac:dyDescent="0.25">
      <c r="A4" t="s">
        <v>2257</v>
      </c>
      <c r="B4">
        <v>120790</v>
      </c>
      <c r="D4">
        <f t="shared" ref="D4:D5" si="0">B4-B3</f>
        <v>4650</v>
      </c>
      <c r="E4" s="422">
        <f>(B2-B3)/D4</f>
        <v>3.9526881720430107</v>
      </c>
    </row>
    <row r="5" spans="1:5" x14ac:dyDescent="0.25">
      <c r="A5" t="s">
        <v>2258</v>
      </c>
      <c r="B5">
        <v>122910</v>
      </c>
      <c r="D5">
        <f t="shared" si="0"/>
        <v>2120</v>
      </c>
      <c r="E5" s="422">
        <f>(B2-B3)/D5</f>
        <v>8.6698113207547163</v>
      </c>
    </row>
    <row r="6" spans="1:5" x14ac:dyDescent="0.25">
      <c r="A6" t="s">
        <v>2259</v>
      </c>
    </row>
    <row r="7" spans="1:5" x14ac:dyDescent="0.25">
      <c r="A7" t="s">
        <v>2260</v>
      </c>
    </row>
    <row r="8" spans="1:5" x14ac:dyDescent="0.25">
      <c r="A8" t="s">
        <v>2261</v>
      </c>
    </row>
    <row r="9" spans="1:5" x14ac:dyDescent="0.25">
      <c r="A9" t="s">
        <v>2262</v>
      </c>
    </row>
    <row r="10" spans="1:5" x14ac:dyDescent="0.25">
      <c r="A10" t="s">
        <v>2263</v>
      </c>
    </row>
    <row r="11" spans="1:5" x14ac:dyDescent="0.25">
      <c r="A11" t="s">
        <v>2264</v>
      </c>
    </row>
    <row r="12" spans="1:5" x14ac:dyDescent="0.25">
      <c r="A12" t="s">
        <v>2265</v>
      </c>
    </row>
    <row r="13" spans="1:5" x14ac:dyDescent="0.25">
      <c r="A13" t="s">
        <v>2266</v>
      </c>
    </row>
    <row r="14" spans="1:5" x14ac:dyDescent="0.25">
      <c r="A14" t="s">
        <v>2267</v>
      </c>
    </row>
    <row r="15" spans="1:5" x14ac:dyDescent="0.25">
      <c r="A15" t="s">
        <v>2268</v>
      </c>
    </row>
    <row r="16" spans="1:5" x14ac:dyDescent="0.25">
      <c r="A16" t="s">
        <v>2269</v>
      </c>
    </row>
    <row r="17" spans="1:1" x14ac:dyDescent="0.25">
      <c r="A17" t="s">
        <v>2270</v>
      </c>
    </row>
    <row r="18" spans="1:1" x14ac:dyDescent="0.25">
      <c r="A18" t="s">
        <v>2271</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AD32"/>
  <sheetViews>
    <sheetView zoomScale="90" zoomScaleNormal="90" workbookViewId="0">
      <selection activeCell="W13" sqref="W13"/>
    </sheetView>
  </sheetViews>
  <sheetFormatPr baseColWidth="10" defaultColWidth="11.42578125" defaultRowHeight="15" x14ac:dyDescent="0.25"/>
  <cols>
    <col min="1" max="1" width="17.140625" customWidth="1"/>
    <col min="2" max="2" width="7.140625" bestFit="1" customWidth="1"/>
    <col min="3" max="3" width="8.28515625" bestFit="1" customWidth="1"/>
    <col min="4" max="4" width="12.140625" bestFit="1" customWidth="1"/>
    <col min="5" max="5" width="3.5703125" bestFit="1" customWidth="1"/>
    <col min="6" max="6" width="4.140625" bestFit="1" customWidth="1"/>
    <col min="7" max="7" width="3.140625" bestFit="1" customWidth="1"/>
    <col min="8" max="8" width="4.140625" bestFit="1" customWidth="1"/>
    <col min="9" max="9" width="3.28515625" bestFit="1" customWidth="1"/>
    <col min="10" max="10" width="4" bestFit="1" customWidth="1"/>
    <col min="11" max="11" width="3.5703125" bestFit="1" customWidth="1"/>
    <col min="12" max="12" width="3.42578125" bestFit="1" customWidth="1"/>
    <col min="13" max="13" width="3.28515625" bestFit="1" customWidth="1"/>
    <col min="14" max="14" width="4.140625" bestFit="1" customWidth="1"/>
    <col min="15" max="15" width="3.28515625" bestFit="1" customWidth="1"/>
    <col min="16" max="17" width="3.42578125" bestFit="1" customWidth="1"/>
    <col min="18" max="18" width="11.42578125" style="546" bestFit="1" customWidth="1"/>
    <col min="19" max="19" width="7.7109375" bestFit="1" customWidth="1"/>
    <col min="20" max="20" width="10.5703125" bestFit="1" customWidth="1"/>
    <col min="21" max="21" width="14.28515625" bestFit="1" customWidth="1"/>
    <col min="22" max="22" width="4.28515625" bestFit="1" customWidth="1"/>
    <col min="23" max="23" width="7.140625" bestFit="1" customWidth="1"/>
    <col min="24" max="24" width="3.28515625" bestFit="1" customWidth="1"/>
  </cols>
  <sheetData>
    <row r="1" spans="1:30" ht="18" x14ac:dyDescent="0.3">
      <c r="A1" s="550" t="s">
        <v>1936</v>
      </c>
    </row>
    <row r="2" spans="1:30" x14ac:dyDescent="0.25">
      <c r="A2" t="s">
        <v>1938</v>
      </c>
    </row>
    <row r="3" spans="1:30" x14ac:dyDescent="0.25">
      <c r="A3" t="s">
        <v>1939</v>
      </c>
    </row>
    <row r="4" spans="1:30" ht="18" x14ac:dyDescent="0.3">
      <c r="A4" s="550" t="s">
        <v>1937</v>
      </c>
      <c r="AC4" t="s">
        <v>471</v>
      </c>
      <c r="AD4">
        <v>8</v>
      </c>
    </row>
    <row r="5" spans="1:30" x14ac:dyDescent="0.25">
      <c r="A5" t="s">
        <v>1941</v>
      </c>
      <c r="AC5" t="s">
        <v>1952</v>
      </c>
      <c r="AD5">
        <v>6</v>
      </c>
    </row>
    <row r="6" spans="1:30" x14ac:dyDescent="0.25">
      <c r="A6" t="s">
        <v>1940</v>
      </c>
    </row>
    <row r="7" spans="1:30" x14ac:dyDescent="0.25">
      <c r="A7" t="s">
        <v>1942</v>
      </c>
    </row>
    <row r="9" spans="1:30" x14ac:dyDescent="0.25">
      <c r="R9"/>
    </row>
    <row r="10" spans="1:30" x14ac:dyDescent="0.25">
      <c r="D10" t="s">
        <v>1951</v>
      </c>
      <c r="R10"/>
    </row>
    <row r="11" spans="1:30" x14ac:dyDescent="0.25">
      <c r="R11"/>
    </row>
    <row r="12" spans="1:30" x14ac:dyDescent="0.25">
      <c r="D12" t="s">
        <v>1950</v>
      </c>
      <c r="R12"/>
    </row>
    <row r="13" spans="1:30" x14ac:dyDescent="0.25">
      <c r="D13" t="s">
        <v>1943</v>
      </c>
      <c r="R13"/>
    </row>
    <row r="14" spans="1:30" x14ac:dyDescent="0.25">
      <c r="D14" t="s">
        <v>1944</v>
      </c>
      <c r="R14"/>
    </row>
    <row r="15" spans="1:30" x14ac:dyDescent="0.25">
      <c r="R15"/>
    </row>
    <row r="16" spans="1:30" x14ac:dyDescent="0.25">
      <c r="D16" t="s">
        <v>1945</v>
      </c>
      <c r="R16"/>
    </row>
    <row r="17" spans="1:18" x14ac:dyDescent="0.25">
      <c r="D17" t="s">
        <v>1946</v>
      </c>
      <c r="R17"/>
    </row>
    <row r="18" spans="1:18" x14ac:dyDescent="0.25">
      <c r="R18"/>
    </row>
    <row r="19" spans="1:18" x14ac:dyDescent="0.25">
      <c r="R19"/>
    </row>
    <row r="20" spans="1:18" x14ac:dyDescent="0.25">
      <c r="R20"/>
    </row>
    <row r="21" spans="1:18" x14ac:dyDescent="0.25">
      <c r="D21" t="s">
        <v>1947</v>
      </c>
      <c r="R21"/>
    </row>
    <row r="22" spans="1:18" x14ac:dyDescent="0.25">
      <c r="D22" t="s">
        <v>1948</v>
      </c>
      <c r="R22"/>
    </row>
    <row r="23" spans="1:18" x14ac:dyDescent="0.25">
      <c r="D23" t="s">
        <v>1949</v>
      </c>
      <c r="R23"/>
    </row>
    <row r="24" spans="1:18" x14ac:dyDescent="0.25">
      <c r="R24"/>
    </row>
    <row r="26" spans="1:18" x14ac:dyDescent="0.25">
      <c r="A26" t="s">
        <v>1437</v>
      </c>
    </row>
    <row r="28" spans="1:18" ht="15.75" x14ac:dyDescent="0.25">
      <c r="A28" s="547" t="s">
        <v>1389</v>
      </c>
    </row>
    <row r="29" spans="1:18" ht="15.75" x14ac:dyDescent="0.25">
      <c r="A29" s="547" t="s">
        <v>1934</v>
      </c>
    </row>
    <row r="30" spans="1:18" ht="15.75" x14ac:dyDescent="0.25">
      <c r="A30" s="547" t="s">
        <v>1931</v>
      </c>
    </row>
    <row r="31" spans="1:18" ht="15.75" x14ac:dyDescent="0.25">
      <c r="A31" s="549" t="s">
        <v>1932</v>
      </c>
    </row>
    <row r="32" spans="1:18" ht="15.75" x14ac:dyDescent="0.25">
      <c r="A32" s="548" t="s">
        <v>1933</v>
      </c>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42"/>
  <sheetViews>
    <sheetView workbookViewId="0">
      <selection activeCell="F21" sqref="F21"/>
    </sheetView>
  </sheetViews>
  <sheetFormatPr baseColWidth="10" defaultColWidth="11.42578125" defaultRowHeight="15" x14ac:dyDescent="0.25"/>
  <cols>
    <col min="1" max="1" width="12.140625" bestFit="1" customWidth="1"/>
    <col min="2" max="2" width="5.42578125" bestFit="1" customWidth="1"/>
    <col min="3" max="3" width="4.7109375" bestFit="1" customWidth="1"/>
    <col min="4" max="4" width="4.5703125" bestFit="1" customWidth="1"/>
    <col min="5" max="5" width="7.7109375" bestFit="1" customWidth="1"/>
    <col min="6" max="6" width="16.140625" bestFit="1" customWidth="1"/>
    <col min="7" max="7" width="9.42578125" bestFit="1" customWidth="1"/>
    <col min="8" max="8" width="13" bestFit="1" customWidth="1"/>
    <col min="9" max="9" width="13.42578125" bestFit="1" customWidth="1"/>
    <col min="11" max="11" width="12" bestFit="1" customWidth="1"/>
    <col min="12" max="12" width="3.7109375" bestFit="1" customWidth="1"/>
    <col min="13" max="13" width="5.85546875" bestFit="1" customWidth="1"/>
    <col min="14" max="15" width="4.5703125" bestFit="1" customWidth="1"/>
    <col min="16" max="16" width="3.85546875" bestFit="1" customWidth="1"/>
    <col min="17" max="21" width="5.5703125" bestFit="1" customWidth="1"/>
    <col min="22" max="22" width="5.140625" bestFit="1" customWidth="1"/>
    <col min="23" max="23" width="5.5703125" bestFit="1" customWidth="1"/>
    <col min="24" max="24" width="4.85546875" bestFit="1" customWidth="1"/>
    <col min="25" max="26" width="6.140625" bestFit="1" customWidth="1"/>
    <col min="27" max="27" width="6.85546875" bestFit="1" customWidth="1"/>
    <col min="28" max="28" width="7.140625" bestFit="1" customWidth="1"/>
    <col min="29" max="29" width="7.7109375" bestFit="1" customWidth="1"/>
    <col min="30" max="30" width="7.85546875" bestFit="1" customWidth="1"/>
    <col min="31" max="32" width="7.42578125" bestFit="1" customWidth="1"/>
    <col min="33" max="33" width="7.85546875" bestFit="1" customWidth="1"/>
    <col min="34" max="34" width="7.42578125" bestFit="1" customWidth="1"/>
    <col min="35" max="35" width="5.140625" bestFit="1" customWidth="1"/>
    <col min="36" max="36" width="7.42578125" bestFit="1" customWidth="1"/>
    <col min="37" max="37" width="7.85546875" bestFit="1" customWidth="1"/>
    <col min="38" max="38" width="5.140625" bestFit="1" customWidth="1"/>
    <col min="39" max="39" width="6.42578125" bestFit="1" customWidth="1"/>
    <col min="40" max="40" width="7.42578125" bestFit="1" customWidth="1"/>
    <col min="41" max="41" width="7.85546875" bestFit="1" customWidth="1"/>
    <col min="42" max="42" width="5.140625" bestFit="1" customWidth="1"/>
    <col min="43" max="43" width="6.42578125" bestFit="1" customWidth="1"/>
    <col min="44" max="44" width="6.85546875" bestFit="1" customWidth="1"/>
    <col min="45" max="45" width="7.42578125" bestFit="1" customWidth="1"/>
    <col min="46" max="46" width="7.85546875" bestFit="1" customWidth="1"/>
    <col min="47" max="47" width="7.42578125" bestFit="1" customWidth="1"/>
    <col min="48" max="48" width="5.5703125" bestFit="1" customWidth="1"/>
    <col min="49" max="49" width="6.42578125" bestFit="1" customWidth="1"/>
    <col min="50" max="50" width="6.85546875" bestFit="1" customWidth="1"/>
    <col min="51" max="51" width="6.42578125" bestFit="1" customWidth="1"/>
    <col min="52" max="52" width="7.42578125" bestFit="1" customWidth="1"/>
    <col min="53" max="53" width="7.85546875" bestFit="1" customWidth="1"/>
    <col min="54" max="54" width="5.5703125" bestFit="1" customWidth="1"/>
    <col min="55" max="55" width="6.42578125" bestFit="1" customWidth="1"/>
    <col min="56" max="56" width="6.85546875" bestFit="1" customWidth="1"/>
    <col min="57" max="57" width="7.42578125" bestFit="1" customWidth="1"/>
    <col min="58" max="58" width="7.85546875" bestFit="1" customWidth="1"/>
    <col min="59" max="59" width="5.140625" bestFit="1" customWidth="1"/>
    <col min="60" max="60" width="6.42578125" bestFit="1" customWidth="1"/>
    <col min="61" max="61" width="6.85546875" bestFit="1" customWidth="1"/>
    <col min="62" max="62" width="5.140625" bestFit="1" customWidth="1"/>
    <col min="63" max="63" width="6.42578125" bestFit="1" customWidth="1"/>
    <col min="64" max="64" width="6.85546875" bestFit="1" customWidth="1"/>
    <col min="65" max="66" width="6.42578125" bestFit="1" customWidth="1"/>
    <col min="67" max="67" width="6.85546875" bestFit="1" customWidth="1"/>
    <col min="68" max="68" width="6.42578125" bestFit="1" customWidth="1"/>
  </cols>
  <sheetData>
    <row r="1" spans="1:68" x14ac:dyDescent="0.25">
      <c r="A1" s="30">
        <f ca="1">TODAY()</f>
        <v>43055</v>
      </c>
      <c r="L1" s="582"/>
      <c r="M1" s="582"/>
      <c r="N1" s="582"/>
      <c r="O1" s="582"/>
      <c r="P1" s="582"/>
      <c r="Q1" s="582"/>
      <c r="R1" s="582"/>
      <c r="S1" s="582"/>
      <c r="T1" s="582"/>
      <c r="U1" s="582"/>
      <c r="V1" s="582"/>
      <c r="W1" s="582"/>
      <c r="X1" s="582"/>
      <c r="Y1" s="582"/>
      <c r="Z1" s="582"/>
      <c r="AA1" s="582"/>
      <c r="AB1" s="582"/>
      <c r="AC1" t="s">
        <v>2272</v>
      </c>
      <c r="AF1" t="s">
        <v>1831</v>
      </c>
      <c r="AJ1" t="s">
        <v>1929</v>
      </c>
      <c r="AN1" t="s">
        <v>2273</v>
      </c>
      <c r="AS1" t="s">
        <v>2274</v>
      </c>
      <c r="AZ1" t="s">
        <v>1919</v>
      </c>
      <c r="BE1" t="s">
        <v>2275</v>
      </c>
      <c r="BJ1" t="s">
        <v>1928</v>
      </c>
      <c r="BN1" t="s">
        <v>2276</v>
      </c>
    </row>
    <row r="2" spans="1:68" x14ac:dyDescent="0.25">
      <c r="A2" s="583" t="s">
        <v>720</v>
      </c>
      <c r="B2" s="583" t="s">
        <v>1763</v>
      </c>
      <c r="C2" s="583" t="s">
        <v>650</v>
      </c>
      <c r="D2" s="583" t="s">
        <v>1921</v>
      </c>
      <c r="E2" s="583" t="s">
        <v>1920</v>
      </c>
      <c r="F2" s="583" t="s">
        <v>2277</v>
      </c>
      <c r="G2" s="583" t="s">
        <v>1332</v>
      </c>
      <c r="H2" s="583" t="s">
        <v>2278</v>
      </c>
      <c r="I2" s="583" t="s">
        <v>1764</v>
      </c>
      <c r="J2" s="583" t="s">
        <v>2279</v>
      </c>
      <c r="K2" s="583" t="s">
        <v>2280</v>
      </c>
      <c r="L2" s="584" t="s">
        <v>2281</v>
      </c>
      <c r="M2" s="584" t="s">
        <v>2282</v>
      </c>
      <c r="N2" s="584" t="s">
        <v>2283</v>
      </c>
      <c r="O2" s="584" t="s">
        <v>1922</v>
      </c>
      <c r="P2" s="584" t="s">
        <v>2284</v>
      </c>
      <c r="Q2" s="584" t="s">
        <v>1488</v>
      </c>
      <c r="R2" s="584" t="s">
        <v>1242</v>
      </c>
      <c r="S2" s="584" t="s">
        <v>2285</v>
      </c>
      <c r="T2" s="584" t="s">
        <v>1300</v>
      </c>
      <c r="U2" s="584" t="s">
        <v>1489</v>
      </c>
      <c r="V2" s="584" t="s">
        <v>1996</v>
      </c>
      <c r="W2" s="584" t="s">
        <v>1490</v>
      </c>
      <c r="X2" s="585" t="s">
        <v>2018</v>
      </c>
      <c r="Y2" s="585" t="s">
        <v>1953</v>
      </c>
      <c r="Z2" s="585" t="s">
        <v>1954</v>
      </c>
      <c r="AA2" s="585" t="s">
        <v>2233</v>
      </c>
      <c r="AB2" s="585" t="s">
        <v>2234</v>
      </c>
      <c r="AC2" s="586" t="s">
        <v>2286</v>
      </c>
      <c r="AD2" s="586" t="s">
        <v>2287</v>
      </c>
      <c r="AE2" s="586" t="s">
        <v>2286</v>
      </c>
      <c r="AF2" s="587" t="s">
        <v>2286</v>
      </c>
      <c r="AG2" s="587" t="s">
        <v>2287</v>
      </c>
      <c r="AH2" s="587" t="s">
        <v>2286</v>
      </c>
      <c r="AI2" s="587" t="s">
        <v>2288</v>
      </c>
      <c r="AJ2" s="586" t="s">
        <v>2286</v>
      </c>
      <c r="AK2" s="586" t="s">
        <v>2287</v>
      </c>
      <c r="AL2" s="586" t="s">
        <v>2288</v>
      </c>
      <c r="AM2" s="586" t="s">
        <v>2289</v>
      </c>
      <c r="AN2" s="587" t="s">
        <v>2286</v>
      </c>
      <c r="AO2" s="587" t="s">
        <v>2287</v>
      </c>
      <c r="AP2" s="587" t="s">
        <v>2288</v>
      </c>
      <c r="AQ2" s="587" t="s">
        <v>2289</v>
      </c>
      <c r="AR2" s="587" t="s">
        <v>2290</v>
      </c>
      <c r="AS2" s="586" t="s">
        <v>2286</v>
      </c>
      <c r="AT2" s="586" t="s">
        <v>2287</v>
      </c>
      <c r="AU2" s="586" t="s">
        <v>2286</v>
      </c>
      <c r="AV2" s="586" t="s">
        <v>2288</v>
      </c>
      <c r="AW2" s="586" t="s">
        <v>2289</v>
      </c>
      <c r="AX2" s="586" t="s">
        <v>2290</v>
      </c>
      <c r="AY2" s="586" t="s">
        <v>2289</v>
      </c>
      <c r="AZ2" s="587" t="s">
        <v>2286</v>
      </c>
      <c r="BA2" s="587" t="s">
        <v>2287</v>
      </c>
      <c r="BB2" s="587" t="s">
        <v>2288</v>
      </c>
      <c r="BC2" s="587" t="s">
        <v>2289</v>
      </c>
      <c r="BD2" s="587" t="s">
        <v>2290</v>
      </c>
      <c r="BE2" s="586" t="s">
        <v>2286</v>
      </c>
      <c r="BF2" s="586" t="s">
        <v>2287</v>
      </c>
      <c r="BG2" s="586" t="s">
        <v>2288</v>
      </c>
      <c r="BH2" s="586" t="s">
        <v>2289</v>
      </c>
      <c r="BI2" s="586" t="s">
        <v>2290</v>
      </c>
      <c r="BJ2" s="587" t="s">
        <v>2288</v>
      </c>
      <c r="BK2" s="587" t="s">
        <v>2289</v>
      </c>
      <c r="BL2" s="587" t="s">
        <v>2290</v>
      </c>
      <c r="BM2" s="587" t="s">
        <v>2289</v>
      </c>
      <c r="BN2" s="586" t="s">
        <v>2289</v>
      </c>
      <c r="BO2" s="586" t="s">
        <v>2290</v>
      </c>
      <c r="BP2" s="586" t="s">
        <v>2289</v>
      </c>
    </row>
    <row r="3" spans="1:68" x14ac:dyDescent="0.25">
      <c r="A3" t="s">
        <v>1997</v>
      </c>
      <c r="B3">
        <v>22</v>
      </c>
      <c r="C3" s="59">
        <f ca="1">59+42171-TODAY()</f>
        <v>-825</v>
      </c>
      <c r="E3" s="63">
        <f>(J3-H3)/112</f>
        <v>1.9285714285714286</v>
      </c>
      <c r="F3" s="588">
        <f t="shared" ref="F3:F18" si="0">(-I3-(G3*16*E3)+K3)/E3</f>
        <v>621694.14814814809</v>
      </c>
      <c r="G3" s="588">
        <v>12996</v>
      </c>
      <c r="H3" s="589">
        <v>41974</v>
      </c>
      <c r="I3" s="588">
        <v>1699999</v>
      </c>
      <c r="J3" s="589">
        <v>42190</v>
      </c>
      <c r="K3" s="588">
        <v>3300000</v>
      </c>
      <c r="L3" s="590">
        <v>5</v>
      </c>
      <c r="M3" s="591">
        <v>99</v>
      </c>
      <c r="N3" s="582">
        <v>6</v>
      </c>
      <c r="O3" s="311">
        <v>3.7</v>
      </c>
      <c r="P3" s="582">
        <v>14</v>
      </c>
      <c r="Q3" s="60">
        <v>13.2</v>
      </c>
      <c r="R3" s="60">
        <v>8</v>
      </c>
      <c r="S3" s="60">
        <v>2</v>
      </c>
      <c r="T3" s="60">
        <v>3</v>
      </c>
      <c r="U3" s="60">
        <v>3</v>
      </c>
      <c r="V3" s="60">
        <v>2</v>
      </c>
      <c r="W3" s="60">
        <v>15</v>
      </c>
      <c r="X3" s="60">
        <f>((2*(U3+1))+(R3+1))/8</f>
        <v>2.125</v>
      </c>
      <c r="Y3" s="60">
        <f>(0.5*V3+ 0.3*W3)/10</f>
        <v>0.55000000000000004</v>
      </c>
      <c r="Z3" s="60">
        <f>(0.4*R3+0.3*W3)/10</f>
        <v>0.77</v>
      </c>
      <c r="AA3" s="60">
        <f t="shared" ref="AA3:AA18" ca="1" si="1">IF(TODAY()-H3&gt;335,(W3+1+(LOG(O3)*4/3))*(N3/7)^0.5,(W3+((TODAY()-H3)^0.5)/(336^0.5)+(LOG(O3)*4/3))*(N3/7)^0.5)</f>
        <v>15.514525032183013</v>
      </c>
      <c r="AB3" s="60">
        <f t="shared" ref="AB3:AB18" ca="1" si="2">IF(N3=7,AA3,IF(TODAY()-H3&gt;335,(W3+1+(LOG(O3)*4/3))*((N3+0.99)/7)^0.5,(W3+((TODAY()-H3)^0.5)/(336^0.5)+(LOG(O3)*4/3))*((N3+0.99)/7)^0.5))</f>
        <v>16.745628304873538</v>
      </c>
      <c r="AC3" s="63">
        <f t="shared" ref="AC3:AC18" ca="1" si="3">IF(TODAY()-H3&gt;335,((Q3+1+(LOG(O3)*4/3))*0.65)+((R3+1+(LOG(O3)*4/3))*0.27),((Q3+(((TODAY()-H3)^0.5)/(336^0.5))+(LOG(O3)*4/3))*0.65)+((R3+(((TODAY()-H3)^0.5)/(336^0.5))+(LOG(O3)*4/3))*0.27))</f>
        <v>12.356994114855514</v>
      </c>
      <c r="AD3" s="63">
        <f t="shared" ref="AD3:AD18" ca="1" si="4">IF(TODAY()-H3&gt;335,((Q3+1+(LOG(O3)*4/3))*0.98)+((R3+1+(LOG(O3)*4/3))*0.39),((Q3+(((TODAY()-H3)^0.5)/(336^0.5))+(LOG(O3)*4/3))*0.98)+((R3+(((TODAY()-H3)^0.5)/(336^0.5))+(LOG(O3)*4/3))*0.39))</f>
        <v>18.463915149295708</v>
      </c>
      <c r="AE3" s="63">
        <f ca="1">AC3</f>
        <v>12.356994114855514</v>
      </c>
      <c r="AF3" s="63">
        <f t="shared" ref="AF3:AF18" ca="1" si="5">IF(TODAY()-H3&gt;335,((R3+1+(LOG(O3)*4/3))*0.5),((R3+(((TODAY()-H3)^0.5)/(336^0.5))+(LOG(O3)*4/3))*0.5))</f>
        <v>4.8788011493779964</v>
      </c>
      <c r="AG3" s="63">
        <f t="shared" ref="AG3:AG18" ca="1" si="6">IF(TODAY()-H3&gt;335,((R3+1+(LOG(O3)*4/3))*1),((R3+(((TODAY()-H3)^0.5)/(336^0.5))+(LOG(O3)*4/3))*1))</f>
        <v>9.7576022987559927</v>
      </c>
      <c r="AH3" s="63">
        <f ca="1">AF3/2</f>
        <v>2.4394005746889982</v>
      </c>
      <c r="AI3" s="63">
        <f t="shared" ref="AI3:AI18" ca="1" si="7">IF(TODAY()-H3&gt;335,((S3+1+(LOG(O3)*4/3))*0.28),((S3+(((TODAY()-H3)^0.5)/(336^0.5))+(LOG(O3)*4/3))*0.28))</f>
        <v>1.0521286436516781</v>
      </c>
      <c r="AJ3" s="63">
        <f t="shared" ref="AJ3:AJ18" ca="1" si="8">IF(TODAY()-H3&gt;335,((R3+1+(LOG(O3)*4/3))*0.92),((R3+(((TODAY()-H3)^0.5)/(336^0.5))+(LOG(O3)*4/3))*0.92))</f>
        <v>8.976994114855513</v>
      </c>
      <c r="AK3" s="63">
        <f t="shared" ref="AK3:AK18" ca="1" si="9">IF(TODAY()-H3&gt;335,((R3+1+(LOG(O3)*4/3))*0.46),((R3+(((TODAY()-H3)^0.5)/(336^0.5))+(LOG(O3)*4/3))*0.46))</f>
        <v>4.4884970574277565</v>
      </c>
      <c r="AL3" s="63">
        <f t="shared" ref="AL3:AL18" ca="1" si="10">IF(TODAY()-H3&gt;335,((S3+1+(LOG(O3)*4/3))*0.15),((S3+(((TODAY()-H3)^0.5)/(336^0.5))+(LOG(O3)*4/3))*0.15))</f>
        <v>0.56364034481339897</v>
      </c>
      <c r="AM3" s="63">
        <f t="shared" ref="AM3:AM18" ca="1" si="11">IF(TODAY()-H3&gt;335,((T3+1+(LOG(O3)*4/3))*0.52),((T3+(((TODAY()-H3)^0.5)/(336^0.5))+(LOG(O3)*4/3))*0.52))</f>
        <v>2.4739531953531166</v>
      </c>
      <c r="AN3" s="63">
        <f t="shared" ref="AN3:AN18" ca="1" si="12">IF(TODAY()-H3&gt;335,((R3+1+(LOG(O3)*4/3))*0.47),((R3+(((TODAY()-H3)^0.5)/(336^0.5))+(LOG(O3)*4/3))*0.47))</f>
        <v>4.586073080415316</v>
      </c>
      <c r="AO3" s="63">
        <f t="shared" ref="AO3:AO18" ca="1" si="13">IF(TODAY()-H3&gt;335,((R3+1+(LOG(O3)*4/3))*0.28),((R3+(((TODAY()-H3)^0.5)/(336^0.5))+(LOG(O3)*4/3))*0.28))</f>
        <v>2.7321286436516781</v>
      </c>
      <c r="AP3" s="63">
        <f t="shared" ref="AP3:AP18" ca="1" si="14">IF(TODAY()-H3&gt;335,((S3+1+(LOG(O3)*4/3))*0.44),((S3+(((TODAY()-H3)^0.5)/(336^0.5))+(LOG(O3)*4/3))*0.44))</f>
        <v>1.6533450114526369</v>
      </c>
      <c r="AQ3" s="63">
        <f t="shared" ref="AQ3:AQ18" ca="1" si="15">IF(TODAY()-H3&gt;335,((T3+1+(LOG(O3)*4/3))*0.72)+((U3+1+(LOG(O3)*4/3))*0.21),((T3+(((TODAY()-H3)^0.5)/(336^0.5))+(LOG(O3)*4/3))*0.72)+((U3+(((TODAY()-H3)^0.5)/(336^0.5))+(LOG(O3)*4/3))*0.21))</f>
        <v>4.424570137843074</v>
      </c>
      <c r="AR3" s="63">
        <f t="shared" ref="AR3:AR18" ca="1" si="16">IF(TODAY()-H3&gt;335,((U3+1+(LOG(O3)*4/3))*0.1),((U3+(((TODAY()-H3)^0.5)/(336^0.5))+(LOG(O3)*4/3))*0.1))</f>
        <v>0.47576022987559941</v>
      </c>
      <c r="AS3" s="63">
        <f t="shared" ref="AS3:AS18" ca="1" si="17">IF(TODAY()-H3&gt;335,((R3+1+(LOG(O3)*4/3))*0.28),((R3+(((TODAY()-H3)^0.5)/(336^0.5))+(LOG(O3)*4/3))*0.28))</f>
        <v>2.7321286436516781</v>
      </c>
      <c r="AT3" s="63">
        <f t="shared" ref="AT3:AT18" ca="1" si="18">IF(TODAY()-H3&gt;335,((R3+1+(LOG(O3)*4/3))*0.63),((R3+(((TODAY()-H3)^0.5)/(336^0.5))+(LOG(O3)*4/3))*0.63))</f>
        <v>6.1472894482162754</v>
      </c>
      <c r="AU3" s="63">
        <f t="shared" ref="AU3:AU18" ca="1" si="19">IF(TODAY()-H3&gt;335,((R3+1+(LOG(O3)*4/3))*0.14),((R3+(((TODAY()-H3)^0.5)/(336^0.5))+(LOG(O3)*4/3))*0.14))</f>
        <v>1.366064321825839</v>
      </c>
      <c r="AV3" s="63">
        <f t="shared" ref="AV3:AV18" ca="1" si="20">IF(TODAY()-H3&gt;335,((S3+1+(LOG(O3)*4/3))*0.95),((S3+(((TODAY()-H3)^0.5)/(336^0.5))+(LOG(O3)*4/3))*0.95))</f>
        <v>3.5697221838181932</v>
      </c>
      <c r="AW3" s="63">
        <f t="shared" ref="AW3:AW18" ca="1" si="21">IF(TODAY()-H3&gt;335,((U3+1+(LOG(O3)*4/3))*0.15),((U3+(((TODAY()-H3)^0.5)/(336^0.5))+(LOG(O3)*4/3))*0.15))</f>
        <v>0.713640344813399</v>
      </c>
      <c r="AX3" s="63">
        <f t="shared" ref="AX3:AX18" ca="1" si="22">IF(TODAY()-H3&gt;335,((U3+1+(LOG(O3)*4/3))*0.24),((U3+(((TODAY()-H3)^0.5)/(336^0.5))+(LOG(O3)*4/3))*0.24))</f>
        <v>1.1418245517014385</v>
      </c>
      <c r="AY3" s="63">
        <f t="shared" ref="AY3:AY18" ca="1" si="23">IF(TODAY()-H3&gt;335,((U3+1+(LOG(O3)*4/3))*0.08),((U3+(((TODAY()-H3)^0.5)/(336^0.5))+(LOG(O3)*4/3))*0.08))</f>
        <v>0.38060818390047951</v>
      </c>
      <c r="AZ3" s="63">
        <f t="shared" ref="AZ3:AZ18" ca="1" si="24">IF(TODAY()-H3&gt;335,((R3+1+(LOG(O3)*4/3))*0.21),((R3+(((TODAY()-H3)^0.5)/(336^0.5))+(LOG(O3)*4/3))*0.21))</f>
        <v>2.0490964827387583</v>
      </c>
      <c r="BA3" s="63">
        <f t="shared" ref="BA3:BA18" ca="1" si="25">IF(TODAY()-H3&gt;335,((R3+1+(LOG(O3)*4/3))*0.34),((R3+(((TODAY()-H3)^0.5)/(336^0.5))+(LOG(O3)*4/3))*0.34))</f>
        <v>3.3175847815770378</v>
      </c>
      <c r="BB3" s="63">
        <f t="shared" ref="BB3:BB18" ca="1" si="26">IF(TODAY()-H3&gt;335,((S3+1+(LOG(O3)*4/3))*0.9),((S3+(((TODAY()-H3)^0.5)/(336^0.5))+(LOG(O3)*4/3))*0.9))</f>
        <v>3.3818420688803941</v>
      </c>
      <c r="BC3" s="63">
        <f t="shared" ref="BC3:BC18" ca="1" si="27">IF(TODAY()-H3&gt;335,((T3+1+(LOG(O3)*4/3))*0.58)+((U3+1+(LOG(O3)*4/3))*0.27),((T3+(((TODAY()-H3)^0.5)/(336^0.5))+(LOG(O3)*4/3))*0.58)+((U3+(((TODAY()-H3)^0.5)/(336^0.5))+(LOG(O3)*4/3))*0.27))</f>
        <v>4.0439619539425946</v>
      </c>
      <c r="BD3" s="63">
        <f t="shared" ref="BD3:BD18" ca="1" si="28">IF(TODAY()-H3&gt;335,((U3+1+(LOG(O3)*4/3))*0.24),((U3+(((TODAY()-H3)^0.5)/(336^0.5))+(LOG(O3)*4/3))*0.24))</f>
        <v>1.1418245517014385</v>
      </c>
      <c r="BE3" s="63">
        <f t="shared" ref="BE3:BE18" ca="1" si="29">IF(TODAY()-H3&gt;335,((R3+1+(LOG(O3)*4/3))*0.18),((R3+(((TODAY()-H3)^0.5)/(336^0.5))+(LOG(O3)*4/3))*0.18))</f>
        <v>1.7563684137760787</v>
      </c>
      <c r="BF3" s="63">
        <f t="shared" ref="BF3:BF18" ca="1" si="30">IF(TODAY()-H3&gt;335,((R3+1+(LOG(O3)*4/3))*0.1),((R3+(((TODAY()-H3)^0.5)/(336^0.5))+(LOG(O3)*4/3))*0.1))</f>
        <v>0.97576022987559929</v>
      </c>
      <c r="BG3" s="63">
        <f ca="1">AP3</f>
        <v>1.6533450114526369</v>
      </c>
      <c r="BH3" s="63">
        <f t="shared" ref="BH3:BH18" ca="1" si="31">IF(TODAY()-H3&gt;335,((T3+1+(LOG(O3)*4/3))*1)+((U3+1+(LOG(O3)*4/3))*0.27),((T3+(((TODAY()-H3)^0.5)/(336^0.5))+(LOG(O3)*4/3))*1)+((U3+(((TODAY()-H3)^0.5)/(336^0.5))+(LOG(O3)*4/3))*0.27))</f>
        <v>6.0421549194201116</v>
      </c>
      <c r="BI3" s="63">
        <f t="shared" ref="BI3:BI18" ca="1" si="32">IF(TODAY()-H3&gt;335,((U3+1+(LOG(O3)*4/3))*0.16),((U3+(((TODAY()-H3)^0.5)/(336^0.5))+(LOG(O3)*4/3))*0.16))</f>
        <v>0.76121636780095903</v>
      </c>
      <c r="BJ3" s="63">
        <f t="shared" ref="BJ3:BJ18" ca="1" si="33">IF(TODAY()-H3&gt;335,((S3+1+(LOG(O3)*4/3))*0.45),((S3+(((TODAY()-H3)^0.5)/(336^0.5))+(LOG(O3)*4/3))*0.45))</f>
        <v>1.690921034440197</v>
      </c>
      <c r="BK3" s="63">
        <f t="shared" ref="BK3:BK18" ca="1" si="34">IF(D3="TEC",IF(TODAY()-H3&gt;335,((T3+1+(LOG(O3)*4/3))*0.15)+((U3+1+(LOG(O3)*4/3))*0.29)+((V3+1+(LOG(O3)*4/3))*0.13),((T3+(((TODAY()-H3)^0.5)/(336^0.5))+(LOG(O3)*4/3))*0.15)+((U3+(((TODAY()-H3)^0.5)/(336^0.5))+(LOG(O3)*4/3))*0.29)+((V3+(((TODAY()-H3)^0.5)/(336^0.5))+(LOG(O3)*4/3))*0.13)),IF(TODAY()-H3&gt;335,((T3+1+(LOG(O3)*4/3))*0.15)+((U3+1+(LOG(O3)*4/3))*0.21)+((V3+1+(LOG(O3)*4/3))*0.13),((T3+(((TODAY()-H3)^0.5)/(336^0.5))+(LOG(O3)*4/3))*0.15)+((U3+(((TODAY()-H3)^0.5)/(336^0.5))+(LOG(O3)*4/3))*0.21)+((V3+(((TODAY()-H3)^0.5)/(336^0.5))+(LOG(O3)*4/3))*0.13)))</f>
        <v>2.2012251263904368</v>
      </c>
      <c r="BL3" s="63">
        <f t="shared" ref="BL3:BL18" ca="1" si="35">IF(D3="TEC",IF(TODAY()-H3&gt;335,((U3+1+(LOG(O3)*4/3))*0.8)+((V3+1+(LOG(O3)*4/3))*0.62),((U3+(((TODAY()-H3)^0.5)/(336^0.5))+(LOG(O3)*4/3))*0.8)+((V3+(((TODAY()-H3)^0.5)/(336^0.5))+(LOG(O3)*4/3))*0.62)),IF(TODAY()-H3&gt;335,((U3+1+(LOG(O3)*4/3))*0.51)+((V3+1+(LOG(O3)*4/3))*0.62),((U3+(((TODAY()-H3)^0.5)/(336^0.5))+(LOG(O3)*4/3))*0.51)+((V3+(((TODAY()-H3)^0.5)/(336^0.5))+(LOG(O3)*4/3))*0.62)))</f>
        <v>4.7560905975942731</v>
      </c>
      <c r="BM3" s="63">
        <f ca="1">BK3</f>
        <v>2.2012251263904368</v>
      </c>
      <c r="BN3" s="63">
        <f t="shared" ref="BN3:BN18" ca="1" si="36">IF(TODAY()-H3&gt;335,((V3+1+(LOG(O3)*4/3))*0.24)+((T3+1+(LOG(O3)*4/3))*0.18)+((U3+1+(LOG(O3)*4/3))*0.13),((V3+(((TODAY()-H3)^0.5)/(336^0.5))+(LOG(O3)*4/3))*0.24)+((T3+(((TODAY()-H3)^0.5)/(336^0.5))+(LOG(O3)*4/3))*0.18)+((V3+(((TODAY()-H3)^0.5)/(336^0.5))+(LOG(O3)*4/3))*0.24))</f>
        <v>2.3766812643157964</v>
      </c>
      <c r="BO3" s="63">
        <f t="shared" ref="BO3:BO18" ca="1" si="37">IF(TODAY()-H3&gt;335,((V3+1+(LOG(O3)*4/3))*1)+((U3+1+(LOG(O3)*4/3))*0.34),((V3+(((TODAY()-H3)^0.5)/(336^0.5))+(LOG(O3)*4/3))*1)+((U3+(((TODAY()-H3)^0.5)/(336^0.5))+(LOG(O3)*4/3))*0.34))</f>
        <v>5.3751870803330313</v>
      </c>
      <c r="BP3" s="63">
        <f ca="1">BN3</f>
        <v>2.3766812643157964</v>
      </c>
    </row>
    <row r="4" spans="1:68" x14ac:dyDescent="0.25">
      <c r="A4" t="s">
        <v>2072</v>
      </c>
      <c r="B4">
        <v>21</v>
      </c>
      <c r="C4" s="59">
        <f ca="1">48+42171-TODAY()</f>
        <v>-836</v>
      </c>
      <c r="E4" s="63">
        <f t="shared" ref="E4:E18" si="38">(J4-H4)/112</f>
        <v>0.9553571428571429</v>
      </c>
      <c r="F4" s="588">
        <f t="shared" si="0"/>
        <v>965426.54205607472</v>
      </c>
      <c r="G4" s="588">
        <v>3370</v>
      </c>
      <c r="H4" s="589">
        <v>42083</v>
      </c>
      <c r="I4" s="588">
        <v>926160</v>
      </c>
      <c r="J4" s="589">
        <v>42190</v>
      </c>
      <c r="K4" s="588">
        <v>1900000</v>
      </c>
      <c r="L4" s="590">
        <v>2</v>
      </c>
      <c r="M4" s="591">
        <v>99</v>
      </c>
      <c r="N4" s="582">
        <v>5</v>
      </c>
      <c r="O4" s="311">
        <v>1.7</v>
      </c>
      <c r="P4" s="582">
        <v>8</v>
      </c>
      <c r="Q4" s="60">
        <v>11</v>
      </c>
      <c r="R4" s="60">
        <v>2</v>
      </c>
      <c r="S4" s="60">
        <v>1</v>
      </c>
      <c r="T4" s="60">
        <v>0</v>
      </c>
      <c r="U4" s="60">
        <v>0</v>
      </c>
      <c r="V4" s="60">
        <v>0</v>
      </c>
      <c r="W4" s="60">
        <v>19</v>
      </c>
      <c r="X4" s="60">
        <f>((2*(U4+1))+(R4+1))/8</f>
        <v>0.625</v>
      </c>
      <c r="Y4" s="60">
        <f>(0.5*V4+ 0.3*W4)/10</f>
        <v>0.57000000000000006</v>
      </c>
      <c r="Z4" s="60">
        <f>(0.4*R4+0.3*W4)/10</f>
        <v>0.65</v>
      </c>
      <c r="AA4" s="60">
        <f t="shared" ca="1" si="1"/>
        <v>17.162771609770928</v>
      </c>
      <c r="AB4" s="60">
        <f t="shared" ca="1" si="2"/>
        <v>18.785200391167841</v>
      </c>
      <c r="AC4" s="63">
        <f t="shared" ca="1" si="3"/>
        <v>8.8926840102240163</v>
      </c>
      <c r="AD4" s="63">
        <f t="shared" ca="1" si="4"/>
        <v>13.35095336305098</v>
      </c>
      <c r="AE4" s="63">
        <f ca="1">AC4</f>
        <v>8.8926840102240163</v>
      </c>
      <c r="AF4" s="63">
        <f t="shared" ca="1" si="5"/>
        <v>1.6536326142521827</v>
      </c>
      <c r="AG4" s="63">
        <f t="shared" ca="1" si="6"/>
        <v>3.3072652285043653</v>
      </c>
      <c r="AH4" s="63">
        <f ca="1">AF4/2</f>
        <v>0.82681630712609133</v>
      </c>
      <c r="AI4" s="63">
        <f t="shared" ca="1" si="7"/>
        <v>0.64603426398122232</v>
      </c>
      <c r="AJ4" s="63">
        <f t="shared" ca="1" si="8"/>
        <v>3.0426840102240162</v>
      </c>
      <c r="AK4" s="63">
        <f t="shared" ca="1" si="9"/>
        <v>1.5213420051120081</v>
      </c>
      <c r="AL4" s="63">
        <f t="shared" ca="1" si="10"/>
        <v>0.34608978427565479</v>
      </c>
      <c r="AM4" s="63">
        <f t="shared" ca="1" si="11"/>
        <v>0.67977791882227001</v>
      </c>
      <c r="AN4" s="63">
        <f t="shared" ca="1" si="12"/>
        <v>1.5544146573970516</v>
      </c>
      <c r="AO4" s="63">
        <f t="shared" ca="1" si="13"/>
        <v>0.92603426398122235</v>
      </c>
      <c r="AP4" s="63">
        <f t="shared" ca="1" si="14"/>
        <v>1.0151967005419207</v>
      </c>
      <c r="AQ4" s="63">
        <f t="shared" ca="1" si="15"/>
        <v>1.2157566625090597</v>
      </c>
      <c r="AR4" s="63">
        <f t="shared" ca="1" si="16"/>
        <v>0.13072652285043654</v>
      </c>
      <c r="AS4" s="63">
        <f t="shared" ca="1" si="17"/>
        <v>0.92603426398122235</v>
      </c>
      <c r="AT4" s="63">
        <f t="shared" ca="1" si="18"/>
        <v>2.08357709395775</v>
      </c>
      <c r="AU4" s="63">
        <f t="shared" ca="1" si="19"/>
        <v>0.46301713199061117</v>
      </c>
      <c r="AV4" s="63">
        <f t="shared" ca="1" si="20"/>
        <v>2.1919019670791471</v>
      </c>
      <c r="AW4" s="63">
        <f t="shared" ca="1" si="21"/>
        <v>0.19608978427565479</v>
      </c>
      <c r="AX4" s="63">
        <f t="shared" ca="1" si="22"/>
        <v>0.31374365484104766</v>
      </c>
      <c r="AY4" s="63">
        <f t="shared" ca="1" si="23"/>
        <v>0.10458121828034923</v>
      </c>
      <c r="AZ4" s="63">
        <f t="shared" ca="1" si="24"/>
        <v>0.69452569798591668</v>
      </c>
      <c r="BA4" s="63">
        <f t="shared" ca="1" si="25"/>
        <v>1.1244701776914843</v>
      </c>
      <c r="BB4" s="63">
        <f t="shared" ca="1" si="26"/>
        <v>2.0765387056539288</v>
      </c>
      <c r="BC4" s="63">
        <f t="shared" ca="1" si="27"/>
        <v>1.1111754442287105</v>
      </c>
      <c r="BD4" s="63">
        <f t="shared" ca="1" si="28"/>
        <v>0.31374365484104766</v>
      </c>
      <c r="BE4" s="63">
        <f t="shared" ca="1" si="29"/>
        <v>0.59530774113078577</v>
      </c>
      <c r="BF4" s="63">
        <f t="shared" ca="1" si="30"/>
        <v>0.33072652285043658</v>
      </c>
      <c r="BG4" s="63">
        <f ca="1">AP4</f>
        <v>1.0151967005419207</v>
      </c>
      <c r="BH4" s="63">
        <f t="shared" ca="1" si="31"/>
        <v>1.660226840200544</v>
      </c>
      <c r="BI4" s="63">
        <f t="shared" ca="1" si="32"/>
        <v>0.20916243656069847</v>
      </c>
      <c r="BJ4" s="63">
        <f t="shared" ca="1" si="33"/>
        <v>1.0382693528269644</v>
      </c>
      <c r="BK4" s="63">
        <f t="shared" ca="1" si="34"/>
        <v>0.64055996196713894</v>
      </c>
      <c r="BL4" s="63">
        <f t="shared" ca="1" si="35"/>
        <v>1.4772097082099327</v>
      </c>
      <c r="BM4" s="63">
        <f ca="1">BK4</f>
        <v>0.64055996196713894</v>
      </c>
      <c r="BN4" s="63">
        <f t="shared" ca="1" si="36"/>
        <v>0.71899587567740086</v>
      </c>
      <c r="BO4" s="63">
        <f t="shared" ca="1" si="37"/>
        <v>1.7517354061958494</v>
      </c>
      <c r="BP4" s="63">
        <f ca="1">BN4</f>
        <v>0.71899587567740086</v>
      </c>
    </row>
    <row r="5" spans="1:68" x14ac:dyDescent="0.25">
      <c r="A5" t="s">
        <v>2076</v>
      </c>
      <c r="B5">
        <v>26</v>
      </c>
      <c r="C5" s="59">
        <f ca="1">87+42171-TODAY()</f>
        <v>-797</v>
      </c>
      <c r="D5" t="s">
        <v>1793</v>
      </c>
      <c r="E5" s="63">
        <f t="shared" si="38"/>
        <v>0.7410714285714286</v>
      </c>
      <c r="F5" s="588">
        <f t="shared" si="0"/>
        <v>-502464.00000000035</v>
      </c>
      <c r="G5" s="588">
        <v>31404</v>
      </c>
      <c r="H5" s="589">
        <v>42107</v>
      </c>
      <c r="I5" s="588">
        <v>2300000</v>
      </c>
      <c r="J5" s="589">
        <v>42190</v>
      </c>
      <c r="K5" s="588">
        <v>2300000</v>
      </c>
      <c r="L5" s="590">
        <v>3</v>
      </c>
      <c r="M5" s="591">
        <v>94</v>
      </c>
      <c r="N5" s="582">
        <v>7</v>
      </c>
      <c r="O5" s="311">
        <v>6.8</v>
      </c>
      <c r="P5" s="582">
        <v>8</v>
      </c>
      <c r="Q5" s="60">
        <v>0</v>
      </c>
      <c r="R5" s="60">
        <v>15</v>
      </c>
      <c r="S5" s="60">
        <v>5</v>
      </c>
      <c r="T5" s="60">
        <v>8</v>
      </c>
      <c r="U5" s="60">
        <v>7</v>
      </c>
      <c r="V5" s="60">
        <v>2</v>
      </c>
      <c r="W5" s="60">
        <v>14</v>
      </c>
      <c r="X5" s="60">
        <f t="shared" ref="X5:X37" si="39">((2*(U5+1))+(R5+1))/8</f>
        <v>4</v>
      </c>
      <c r="Y5" s="60">
        <f t="shared" ref="Y5:Y18" si="40">(0.5*V5+ 0.3*W5)/10</f>
        <v>0.52</v>
      </c>
      <c r="Z5" s="60">
        <f t="shared" ref="Z5:Z18" si="41">(0.4*R5+0.3*W5)/10</f>
        <v>1.02</v>
      </c>
      <c r="AA5" s="60">
        <f t="shared" ca="1" si="1"/>
        <v>16.110011883608315</v>
      </c>
      <c r="AB5" s="60">
        <f t="shared" ca="1" si="2"/>
        <v>16.110011883608315</v>
      </c>
      <c r="AC5" s="63">
        <f t="shared" ca="1" si="3"/>
        <v>5.9912109329196497</v>
      </c>
      <c r="AD5" s="63">
        <f t="shared" ca="1" si="4"/>
        <v>8.740716280543392</v>
      </c>
      <c r="AE5" s="63">
        <f t="shared" ref="AE5:AE18" ca="1" si="42">AC5</f>
        <v>5.9912109329196497</v>
      </c>
      <c r="AF5" s="63">
        <f t="shared" ca="1" si="5"/>
        <v>8.5550059418041577</v>
      </c>
      <c r="AG5" s="63">
        <f t="shared" ca="1" si="6"/>
        <v>17.110011883608315</v>
      </c>
      <c r="AH5" s="63">
        <f t="shared" ref="AH5:AH18" ca="1" si="43">AF5/2</f>
        <v>4.2775029709020789</v>
      </c>
      <c r="AI5" s="63">
        <f t="shared" ca="1" si="7"/>
        <v>1.9908033274103285</v>
      </c>
      <c r="AJ5" s="63">
        <f t="shared" ca="1" si="8"/>
        <v>15.741210932919651</v>
      </c>
      <c r="AK5" s="63">
        <f t="shared" ca="1" si="9"/>
        <v>7.8706054664598257</v>
      </c>
      <c r="AL5" s="63">
        <f t="shared" ca="1" si="10"/>
        <v>1.0665017825412473</v>
      </c>
      <c r="AM5" s="63">
        <f t="shared" ca="1" si="11"/>
        <v>5.2572061794763245</v>
      </c>
      <c r="AN5" s="63">
        <f t="shared" ca="1" si="12"/>
        <v>8.0417055852959081</v>
      </c>
      <c r="AO5" s="63">
        <f t="shared" ca="1" si="13"/>
        <v>4.7908033274103285</v>
      </c>
      <c r="AP5" s="63">
        <f t="shared" ca="1" si="14"/>
        <v>3.1284052287876589</v>
      </c>
      <c r="AQ5" s="63">
        <f t="shared" ca="1" si="15"/>
        <v>9.192311051755734</v>
      </c>
      <c r="AR5" s="63">
        <f t="shared" ca="1" si="16"/>
        <v>0.91100118836083155</v>
      </c>
      <c r="AS5" s="63">
        <f t="shared" ca="1" si="17"/>
        <v>4.7908033274103285</v>
      </c>
      <c r="AT5" s="63">
        <f t="shared" ca="1" si="18"/>
        <v>10.77930748667324</v>
      </c>
      <c r="AU5" s="63">
        <f t="shared" ca="1" si="19"/>
        <v>2.3954016637051643</v>
      </c>
      <c r="AV5" s="63">
        <f t="shared" ca="1" si="20"/>
        <v>6.7545112894278994</v>
      </c>
      <c r="AW5" s="63">
        <f t="shared" ca="1" si="21"/>
        <v>1.3665017825412473</v>
      </c>
      <c r="AX5" s="63">
        <f t="shared" ca="1" si="22"/>
        <v>2.1864028520659957</v>
      </c>
      <c r="AY5" s="63">
        <f t="shared" ca="1" si="23"/>
        <v>0.72880095068866524</v>
      </c>
      <c r="AZ5" s="63">
        <f t="shared" ca="1" si="24"/>
        <v>3.593102495557746</v>
      </c>
      <c r="BA5" s="63">
        <f t="shared" ca="1" si="25"/>
        <v>5.8174040404268279</v>
      </c>
      <c r="BB5" s="63">
        <f t="shared" ca="1" si="26"/>
        <v>6.3990106952474841</v>
      </c>
      <c r="BC5" s="63">
        <f t="shared" ca="1" si="27"/>
        <v>8.3235101010670682</v>
      </c>
      <c r="BD5" s="63">
        <f t="shared" ca="1" si="28"/>
        <v>2.1864028520659957</v>
      </c>
      <c r="BE5" s="63">
        <f t="shared" ca="1" si="29"/>
        <v>3.0798021390494967</v>
      </c>
      <c r="BF5" s="63">
        <f t="shared" ca="1" si="30"/>
        <v>1.7110011883608316</v>
      </c>
      <c r="BG5" s="63">
        <f t="shared" ref="BG5:BG18" ca="1" si="44">AP5</f>
        <v>3.1284052287876589</v>
      </c>
      <c r="BH5" s="63">
        <f t="shared" ca="1" si="31"/>
        <v>12.569715092182561</v>
      </c>
      <c r="BI5" s="63">
        <f t="shared" ca="1" si="32"/>
        <v>1.4576019013773305</v>
      </c>
      <c r="BJ5" s="63">
        <f t="shared" ca="1" si="33"/>
        <v>3.1995053476237421</v>
      </c>
      <c r="BK5" s="63">
        <f t="shared" ca="1" si="34"/>
        <v>3.9639058229680746</v>
      </c>
      <c r="BL5" s="63">
        <f t="shared" ca="1" si="35"/>
        <v>7.1943134284773969</v>
      </c>
      <c r="BM5" s="63">
        <f t="shared" ref="BM5:BM18" ca="1" si="45">BK5</f>
        <v>3.9639058229680746</v>
      </c>
      <c r="BN5" s="63">
        <f t="shared" ca="1" si="36"/>
        <v>3.9905065359845735</v>
      </c>
      <c r="BO5" s="63">
        <f t="shared" ca="1" si="37"/>
        <v>7.2074159240351428</v>
      </c>
      <c r="BP5" s="63">
        <f t="shared" ref="BP5:BP18" ca="1" si="46">BN5</f>
        <v>3.9905065359845735</v>
      </c>
    </row>
    <row r="6" spans="1:68" x14ac:dyDescent="0.25">
      <c r="A6" t="s">
        <v>1267</v>
      </c>
      <c r="B6">
        <v>27</v>
      </c>
      <c r="C6" s="59">
        <f ca="1">58+42171-TODAY()</f>
        <v>-826</v>
      </c>
      <c r="E6" s="63">
        <f t="shared" si="38"/>
        <v>10.6875</v>
      </c>
      <c r="F6" s="588">
        <f t="shared" si="0"/>
        <v>72017.777777777781</v>
      </c>
      <c r="G6" s="588">
        <v>6610</v>
      </c>
      <c r="H6" s="589">
        <v>40993</v>
      </c>
      <c r="I6" s="588">
        <v>0</v>
      </c>
      <c r="J6" s="589">
        <v>42190</v>
      </c>
      <c r="K6" s="588">
        <v>1900000</v>
      </c>
      <c r="L6" s="590">
        <v>4</v>
      </c>
      <c r="M6" s="591">
        <v>92</v>
      </c>
      <c r="N6" s="582">
        <v>6</v>
      </c>
      <c r="O6" s="311">
        <v>7.5</v>
      </c>
      <c r="P6" s="582">
        <v>20</v>
      </c>
      <c r="Q6" s="60">
        <v>0</v>
      </c>
      <c r="R6" s="60">
        <v>11.7</v>
      </c>
      <c r="S6" s="60">
        <v>5</v>
      </c>
      <c r="T6" s="60">
        <v>11.2</v>
      </c>
      <c r="U6" s="60">
        <v>4</v>
      </c>
      <c r="V6" s="60">
        <v>4</v>
      </c>
      <c r="W6" s="60">
        <v>5</v>
      </c>
      <c r="X6" s="60">
        <f t="shared" si="39"/>
        <v>2.8374999999999999</v>
      </c>
      <c r="Y6" s="60">
        <f t="shared" si="40"/>
        <v>0.35</v>
      </c>
      <c r="Z6" s="60">
        <f t="shared" si="41"/>
        <v>0.61799999999999999</v>
      </c>
      <c r="AA6" s="60">
        <f t="shared" ca="1" si="1"/>
        <v>6.6351196735425066</v>
      </c>
      <c r="AB6" s="60">
        <f t="shared" ca="1" si="2"/>
        <v>7.161627415664606</v>
      </c>
      <c r="AC6" s="63">
        <f t="shared" ca="1" si="3"/>
        <v>5.1524084830938186</v>
      </c>
      <c r="AD6" s="63">
        <f t="shared" ca="1" si="4"/>
        <v>7.5314452411288393</v>
      </c>
      <c r="AE6" s="63">
        <f t="shared" ca="1" si="42"/>
        <v>5.1524084830938186</v>
      </c>
      <c r="AF6" s="63">
        <f t="shared" ca="1" si="5"/>
        <v>6.9333741755944667</v>
      </c>
      <c r="AG6" s="63">
        <f t="shared" ca="1" si="6"/>
        <v>13.866748351188933</v>
      </c>
      <c r="AH6" s="63">
        <f t="shared" ca="1" si="43"/>
        <v>3.4666870877972333</v>
      </c>
      <c r="AI6" s="63">
        <f t="shared" ca="1" si="7"/>
        <v>2.0066895383329015</v>
      </c>
      <c r="AJ6" s="63">
        <f t="shared" ca="1" si="8"/>
        <v>12.757408483093819</v>
      </c>
      <c r="AK6" s="63">
        <f t="shared" ca="1" si="9"/>
        <v>6.3787042415469095</v>
      </c>
      <c r="AL6" s="63">
        <f t="shared" ca="1" si="10"/>
        <v>1.0750122526783399</v>
      </c>
      <c r="AM6" s="63">
        <f t="shared" ca="1" si="11"/>
        <v>6.9507091426182459</v>
      </c>
      <c r="AN6" s="63">
        <f t="shared" ca="1" si="12"/>
        <v>6.5173717250587986</v>
      </c>
      <c r="AO6" s="63">
        <f t="shared" ca="1" si="13"/>
        <v>3.8826895383329019</v>
      </c>
      <c r="AP6" s="63">
        <f t="shared" ca="1" si="14"/>
        <v>3.1533692745231305</v>
      </c>
      <c r="AQ6" s="63">
        <f t="shared" ca="1" si="15"/>
        <v>10.919075966605707</v>
      </c>
      <c r="AR6" s="63">
        <f t="shared" ca="1" si="16"/>
        <v>0.61667483511889332</v>
      </c>
      <c r="AS6" s="63">
        <f t="shared" ca="1" si="17"/>
        <v>3.8826895383329019</v>
      </c>
      <c r="AT6" s="63">
        <f t="shared" ca="1" si="18"/>
        <v>8.7360514612490281</v>
      </c>
      <c r="AU6" s="63">
        <f t="shared" ca="1" si="19"/>
        <v>1.9413447691664509</v>
      </c>
      <c r="AV6" s="63">
        <f t="shared" ca="1" si="20"/>
        <v>6.808410933629486</v>
      </c>
      <c r="AW6" s="63">
        <f t="shared" ca="1" si="21"/>
        <v>0.92501225267833997</v>
      </c>
      <c r="AX6" s="63">
        <f t="shared" ca="1" si="22"/>
        <v>1.480019604285344</v>
      </c>
      <c r="AY6" s="63">
        <f t="shared" ca="1" si="23"/>
        <v>0.49333986809511465</v>
      </c>
      <c r="AZ6" s="63">
        <f t="shared" ca="1" si="24"/>
        <v>2.9120171537496757</v>
      </c>
      <c r="BA6" s="63">
        <f t="shared" ca="1" si="25"/>
        <v>4.714694439404238</v>
      </c>
      <c r="BB6" s="63">
        <f t="shared" ca="1" si="26"/>
        <v>6.4500735160700398</v>
      </c>
      <c r="BC6" s="63">
        <f t="shared" ca="1" si="27"/>
        <v>9.4177360985105931</v>
      </c>
      <c r="BD6" s="63">
        <f t="shared" ca="1" si="28"/>
        <v>1.480019604285344</v>
      </c>
      <c r="BE6" s="63">
        <f t="shared" ca="1" si="29"/>
        <v>2.4960147032140081</v>
      </c>
      <c r="BF6" s="63">
        <f t="shared" ca="1" si="30"/>
        <v>1.3866748351188933</v>
      </c>
      <c r="BG6" s="63">
        <f t="shared" ca="1" si="44"/>
        <v>3.1533692745231305</v>
      </c>
      <c r="BH6" s="63">
        <f t="shared" ca="1" si="31"/>
        <v>15.031770406009946</v>
      </c>
      <c r="BI6" s="63">
        <f t="shared" ca="1" si="32"/>
        <v>0.98667973619022931</v>
      </c>
      <c r="BJ6" s="63">
        <f t="shared" ca="1" si="33"/>
        <v>3.2250367580350199</v>
      </c>
      <c r="BK6" s="63">
        <f t="shared" ca="1" si="34"/>
        <v>4.1017066920825771</v>
      </c>
      <c r="BL6" s="63">
        <f t="shared" ca="1" si="35"/>
        <v>6.9684256368434951</v>
      </c>
      <c r="BM6" s="63">
        <f t="shared" ca="1" si="45"/>
        <v>4.1017066920825771</v>
      </c>
      <c r="BN6" s="63">
        <f t="shared" ca="1" si="36"/>
        <v>4.6877115931539128</v>
      </c>
      <c r="BO6" s="63">
        <f t="shared" ca="1" si="37"/>
        <v>8.2634427905931709</v>
      </c>
      <c r="BP6" s="63">
        <f t="shared" ca="1" si="46"/>
        <v>4.6877115931539128</v>
      </c>
    </row>
    <row r="7" spans="1:68" x14ac:dyDescent="0.25">
      <c r="A7" t="s">
        <v>1686</v>
      </c>
      <c r="B7">
        <v>29</v>
      </c>
      <c r="C7" s="59">
        <f ca="1">54+42171-TODAY()</f>
        <v>-830</v>
      </c>
      <c r="E7" s="63">
        <f t="shared" si="38"/>
        <v>5.4107142857142856</v>
      </c>
      <c r="F7" s="588">
        <f t="shared" si="0"/>
        <v>-393431.55115511559</v>
      </c>
      <c r="G7" s="588">
        <v>17370</v>
      </c>
      <c r="H7" s="589">
        <v>41584</v>
      </c>
      <c r="I7" s="588">
        <v>2125000</v>
      </c>
      <c r="J7" s="589">
        <v>42190</v>
      </c>
      <c r="K7" s="588">
        <v>1500000</v>
      </c>
      <c r="L7" s="590">
        <v>2</v>
      </c>
      <c r="M7" s="591">
        <v>90</v>
      </c>
      <c r="N7" s="582">
        <v>6</v>
      </c>
      <c r="O7" s="311">
        <v>6.7</v>
      </c>
      <c r="P7" s="582">
        <v>20</v>
      </c>
      <c r="Q7" s="60">
        <v>0</v>
      </c>
      <c r="R7" s="60">
        <v>14</v>
      </c>
      <c r="S7" s="60">
        <v>3</v>
      </c>
      <c r="T7" s="60">
        <v>9</v>
      </c>
      <c r="U7" s="60">
        <v>5</v>
      </c>
      <c r="V7" s="60">
        <v>3</v>
      </c>
      <c r="W7" s="60">
        <v>10</v>
      </c>
      <c r="X7" s="60">
        <f t="shared" si="39"/>
        <v>3.375</v>
      </c>
      <c r="Y7" s="60">
        <f t="shared" si="40"/>
        <v>0.45</v>
      </c>
      <c r="Z7" s="60">
        <f t="shared" si="41"/>
        <v>0.8600000000000001</v>
      </c>
      <c r="AA7" s="60">
        <f t="shared" ca="1" si="1"/>
        <v>11.203749972506159</v>
      </c>
      <c r="AB7" s="60">
        <f t="shared" ca="1" si="2"/>
        <v>12.092786100195976</v>
      </c>
      <c r="AC7" s="63">
        <f t="shared" ca="1" si="3"/>
        <v>5.7133184246463475</v>
      </c>
      <c r="AD7" s="63">
        <f t="shared" ca="1" si="4"/>
        <v>8.3389633062668427</v>
      </c>
      <c r="AE7" s="63">
        <f t="shared" ca="1" si="42"/>
        <v>5.7133184246463475</v>
      </c>
      <c r="AF7" s="63">
        <f t="shared" ca="1" si="5"/>
        <v>8.0507165351338834</v>
      </c>
      <c r="AG7" s="63">
        <f t="shared" ca="1" si="6"/>
        <v>16.101433070267767</v>
      </c>
      <c r="AH7" s="63">
        <f t="shared" ca="1" si="43"/>
        <v>4.0253582675669417</v>
      </c>
      <c r="AI7" s="63">
        <f t="shared" ca="1" si="7"/>
        <v>1.4284012596749753</v>
      </c>
      <c r="AJ7" s="63">
        <f t="shared" ca="1" si="8"/>
        <v>14.813318424646345</v>
      </c>
      <c r="AK7" s="63">
        <f t="shared" ca="1" si="9"/>
        <v>7.4066592123231727</v>
      </c>
      <c r="AL7" s="63">
        <f t="shared" ca="1" si="10"/>
        <v>0.76521496054016525</v>
      </c>
      <c r="AM7" s="63">
        <f t="shared" ca="1" si="11"/>
        <v>5.7727451965392396</v>
      </c>
      <c r="AN7" s="63">
        <f t="shared" ca="1" si="12"/>
        <v>7.5676735430258502</v>
      </c>
      <c r="AO7" s="63">
        <f t="shared" ca="1" si="13"/>
        <v>4.508401259674975</v>
      </c>
      <c r="AP7" s="63">
        <f t="shared" ca="1" si="14"/>
        <v>2.2446305509178184</v>
      </c>
      <c r="AQ7" s="63">
        <f t="shared" ca="1" si="15"/>
        <v>9.4843327553490244</v>
      </c>
      <c r="AR7" s="63">
        <f t="shared" ca="1" si="16"/>
        <v>0.71014330702677686</v>
      </c>
      <c r="AS7" s="63">
        <f t="shared" ca="1" si="17"/>
        <v>4.508401259674975</v>
      </c>
      <c r="AT7" s="63">
        <f t="shared" ca="1" si="18"/>
        <v>10.143902834268694</v>
      </c>
      <c r="AU7" s="63">
        <f t="shared" ca="1" si="19"/>
        <v>2.2542006298374875</v>
      </c>
      <c r="AV7" s="63">
        <f t="shared" ca="1" si="20"/>
        <v>4.8463614167543803</v>
      </c>
      <c r="AW7" s="63">
        <f t="shared" ca="1" si="21"/>
        <v>1.0652149605401653</v>
      </c>
      <c r="AX7" s="63">
        <f t="shared" ca="1" si="22"/>
        <v>1.7043439368642643</v>
      </c>
      <c r="AY7" s="63">
        <f t="shared" ca="1" si="23"/>
        <v>0.56811464562142155</v>
      </c>
      <c r="AZ7" s="63">
        <f t="shared" ca="1" si="24"/>
        <v>3.381300944756231</v>
      </c>
      <c r="BA7" s="63">
        <f t="shared" ca="1" si="25"/>
        <v>5.4744872438910415</v>
      </c>
      <c r="BB7" s="63">
        <f t="shared" ca="1" si="26"/>
        <v>4.5912897632409919</v>
      </c>
      <c r="BC7" s="63">
        <f t="shared" ca="1" si="27"/>
        <v>8.3562181097276031</v>
      </c>
      <c r="BD7" s="63">
        <f t="shared" ca="1" si="28"/>
        <v>1.7043439368642643</v>
      </c>
      <c r="BE7" s="63">
        <f t="shared" ca="1" si="29"/>
        <v>2.8982579526481977</v>
      </c>
      <c r="BF7" s="63">
        <f t="shared" ca="1" si="30"/>
        <v>1.6101433070267768</v>
      </c>
      <c r="BG7" s="63">
        <f t="shared" ca="1" si="44"/>
        <v>2.2446305509178184</v>
      </c>
      <c r="BH7" s="63">
        <f t="shared" ca="1" si="31"/>
        <v>13.018819999240065</v>
      </c>
      <c r="BI7" s="63">
        <f t="shared" ca="1" si="32"/>
        <v>1.1362292912428431</v>
      </c>
      <c r="BJ7" s="63">
        <f t="shared" ca="1" si="33"/>
        <v>2.295644881620496</v>
      </c>
      <c r="BK7" s="63">
        <f t="shared" ca="1" si="34"/>
        <v>3.8197022044312066</v>
      </c>
      <c r="BL7" s="63">
        <f t="shared" ca="1" si="35"/>
        <v>6.7846193694025789</v>
      </c>
      <c r="BM7" s="63">
        <f t="shared" ca="1" si="45"/>
        <v>3.8197022044312066</v>
      </c>
      <c r="BN7" s="63">
        <f t="shared" ca="1" si="36"/>
        <v>4.1457881886472725</v>
      </c>
      <c r="BO7" s="63">
        <f t="shared" ca="1" si="37"/>
        <v>7.5159203141588105</v>
      </c>
      <c r="BP7" s="63">
        <f t="shared" ca="1" si="46"/>
        <v>4.1457881886472725</v>
      </c>
    </row>
    <row r="8" spans="1:68" x14ac:dyDescent="0.25">
      <c r="A8" t="s">
        <v>2019</v>
      </c>
      <c r="B8">
        <v>30</v>
      </c>
      <c r="C8" s="59">
        <f ca="1">18+42171-TODAY()</f>
        <v>-866</v>
      </c>
      <c r="D8" t="s">
        <v>1924</v>
      </c>
      <c r="E8" s="63">
        <f t="shared" si="38"/>
        <v>1.7589285714285714</v>
      </c>
      <c r="F8" s="588">
        <f t="shared" si="0"/>
        <v>-695522.76142131991</v>
      </c>
      <c r="G8" s="588">
        <v>26592</v>
      </c>
      <c r="H8" s="589">
        <v>41993</v>
      </c>
      <c r="I8" s="588">
        <v>1275000</v>
      </c>
      <c r="J8" s="589">
        <v>42190</v>
      </c>
      <c r="K8" s="588">
        <v>800000</v>
      </c>
      <c r="L8" s="590">
        <v>4</v>
      </c>
      <c r="M8" s="591">
        <v>88</v>
      </c>
      <c r="N8" s="582">
        <v>3</v>
      </c>
      <c r="O8" s="311">
        <v>6.3</v>
      </c>
      <c r="P8" s="582">
        <v>14</v>
      </c>
      <c r="Q8" s="60">
        <v>0</v>
      </c>
      <c r="R8" s="60">
        <v>15</v>
      </c>
      <c r="S8" s="60">
        <v>2</v>
      </c>
      <c r="T8" s="60">
        <v>3</v>
      </c>
      <c r="U8" s="60">
        <v>6</v>
      </c>
      <c r="V8" s="60">
        <v>6.9</v>
      </c>
      <c r="W8" s="60">
        <v>18</v>
      </c>
      <c r="X8" s="60">
        <f t="shared" si="39"/>
        <v>3.75</v>
      </c>
      <c r="Y8" s="60">
        <f t="shared" si="40"/>
        <v>0.88500000000000001</v>
      </c>
      <c r="Z8" s="60">
        <f t="shared" si="41"/>
        <v>1.1399999999999999</v>
      </c>
      <c r="AA8" s="60">
        <f t="shared" ca="1" si="1"/>
        <v>13.136141376578923</v>
      </c>
      <c r="AB8" s="60">
        <f t="shared" ca="1" si="2"/>
        <v>15.149337267784144</v>
      </c>
      <c r="AC8" s="63">
        <f t="shared" ca="1" si="3"/>
        <v>5.950524407329727</v>
      </c>
      <c r="AD8" s="63">
        <f t="shared" ca="1" si="4"/>
        <v>8.6801287370018763</v>
      </c>
      <c r="AE8" s="63">
        <f t="shared" ca="1" si="42"/>
        <v>5.950524407329727</v>
      </c>
      <c r="AF8" s="63">
        <f t="shared" ca="1" si="5"/>
        <v>8.5328936996357214</v>
      </c>
      <c r="AG8" s="63">
        <f t="shared" ca="1" si="6"/>
        <v>17.065787399271443</v>
      </c>
      <c r="AH8" s="63">
        <f t="shared" ca="1" si="43"/>
        <v>4.2664468498178607</v>
      </c>
      <c r="AI8" s="63">
        <f t="shared" ca="1" si="7"/>
        <v>1.1384204717960038</v>
      </c>
      <c r="AJ8" s="63">
        <f t="shared" ca="1" si="8"/>
        <v>15.700524407329729</v>
      </c>
      <c r="AK8" s="63">
        <f t="shared" ca="1" si="9"/>
        <v>7.8502622036648644</v>
      </c>
      <c r="AL8" s="63">
        <f t="shared" ca="1" si="10"/>
        <v>0.60986810989071627</v>
      </c>
      <c r="AM8" s="63">
        <f t="shared" ca="1" si="11"/>
        <v>2.6342094476211497</v>
      </c>
      <c r="AN8" s="63">
        <f t="shared" ca="1" si="12"/>
        <v>8.0209200776575784</v>
      </c>
      <c r="AO8" s="63">
        <f t="shared" ca="1" si="13"/>
        <v>4.7784204717960046</v>
      </c>
      <c r="AP8" s="63">
        <f t="shared" ca="1" si="14"/>
        <v>1.7889464556794346</v>
      </c>
      <c r="AQ8" s="63">
        <f t="shared" ca="1" si="15"/>
        <v>5.3411822813224408</v>
      </c>
      <c r="AR8" s="63">
        <f t="shared" ca="1" si="16"/>
        <v>0.80657873992714435</v>
      </c>
      <c r="AS8" s="63">
        <f t="shared" ca="1" si="17"/>
        <v>4.7784204717960046</v>
      </c>
      <c r="AT8" s="63">
        <f t="shared" ca="1" si="18"/>
        <v>10.751446061541008</v>
      </c>
      <c r="AU8" s="63">
        <f t="shared" ca="1" si="19"/>
        <v>2.3892102358980023</v>
      </c>
      <c r="AV8" s="63">
        <f t="shared" ca="1" si="20"/>
        <v>3.8624980293078695</v>
      </c>
      <c r="AW8" s="63">
        <f t="shared" ca="1" si="21"/>
        <v>1.2098681098907165</v>
      </c>
      <c r="AX8" s="63">
        <f t="shared" ca="1" si="22"/>
        <v>1.9357889758251463</v>
      </c>
      <c r="AY8" s="63">
        <f t="shared" ca="1" si="23"/>
        <v>0.64526299194171544</v>
      </c>
      <c r="AZ8" s="63">
        <f t="shared" ca="1" si="24"/>
        <v>3.5838153538470028</v>
      </c>
      <c r="BA8" s="63">
        <f t="shared" ca="1" si="25"/>
        <v>5.8023677157522906</v>
      </c>
      <c r="BB8" s="63">
        <f t="shared" ca="1" si="26"/>
        <v>3.6592086593442978</v>
      </c>
      <c r="BC8" s="63">
        <f t="shared" ca="1" si="27"/>
        <v>5.1159192893807255</v>
      </c>
      <c r="BD8" s="63">
        <f t="shared" ca="1" si="28"/>
        <v>1.9357889758251463</v>
      </c>
      <c r="BE8" s="63">
        <f t="shared" ca="1" si="29"/>
        <v>3.0718417318688598</v>
      </c>
      <c r="BF8" s="63">
        <f t="shared" ca="1" si="30"/>
        <v>1.7065787399271444</v>
      </c>
      <c r="BG8" s="63">
        <f t="shared" ca="1" si="44"/>
        <v>1.7889464556794346</v>
      </c>
      <c r="BH8" s="63">
        <f t="shared" ca="1" si="31"/>
        <v>7.2435499970747319</v>
      </c>
      <c r="BI8" s="63">
        <f t="shared" ca="1" si="32"/>
        <v>1.2905259838834309</v>
      </c>
      <c r="BJ8" s="63">
        <f t="shared" ca="1" si="33"/>
        <v>1.8296043296721489</v>
      </c>
      <c r="BK8" s="63">
        <f t="shared" ca="1" si="34"/>
        <v>3.6192358256430071</v>
      </c>
      <c r="BL8" s="63">
        <f t="shared" ca="1" si="35"/>
        <v>9.6723397611767297</v>
      </c>
      <c r="BM8" s="63">
        <f t="shared" ca="1" si="45"/>
        <v>3.6192358256430071</v>
      </c>
      <c r="BN8" s="63">
        <f t="shared" ca="1" si="36"/>
        <v>4.1121830695992934</v>
      </c>
      <c r="BO8" s="63">
        <f t="shared" ca="1" si="37"/>
        <v>11.708155115023734</v>
      </c>
      <c r="BP8" s="63">
        <f t="shared" ca="1" si="46"/>
        <v>4.1121830695992934</v>
      </c>
    </row>
    <row r="9" spans="1:68" x14ac:dyDescent="0.25">
      <c r="A9" t="s">
        <v>2078</v>
      </c>
      <c r="B9">
        <v>28</v>
      </c>
      <c r="C9" s="59">
        <f ca="1">102+42171-TODAY()</f>
        <v>-782</v>
      </c>
      <c r="D9" t="s">
        <v>1793</v>
      </c>
      <c r="E9" s="63">
        <f t="shared" si="38"/>
        <v>0.9017857142857143</v>
      </c>
      <c r="F9" s="588">
        <f t="shared" si="0"/>
        <v>-200191.36633663368</v>
      </c>
      <c r="G9" s="588">
        <v>22908</v>
      </c>
      <c r="H9" s="589">
        <v>42089</v>
      </c>
      <c r="I9" s="588">
        <v>1550000</v>
      </c>
      <c r="J9" s="589">
        <v>42190</v>
      </c>
      <c r="K9" s="588">
        <v>1700000</v>
      </c>
      <c r="L9" s="590">
        <v>2</v>
      </c>
      <c r="M9" s="591">
        <v>87</v>
      </c>
      <c r="N9" s="582">
        <v>6</v>
      </c>
      <c r="O9" s="311">
        <v>6.7</v>
      </c>
      <c r="P9" s="582">
        <v>9</v>
      </c>
      <c r="Q9" s="60">
        <v>0</v>
      </c>
      <c r="R9" s="60">
        <v>14</v>
      </c>
      <c r="S9" s="60">
        <v>2</v>
      </c>
      <c r="T9" s="60">
        <v>8</v>
      </c>
      <c r="U9" s="60">
        <v>9</v>
      </c>
      <c r="V9" s="60">
        <v>2</v>
      </c>
      <c r="W9" s="60">
        <v>2</v>
      </c>
      <c r="X9" s="60">
        <f t="shared" si="39"/>
        <v>4.375</v>
      </c>
      <c r="Y9" s="60">
        <f t="shared" si="40"/>
        <v>0.16</v>
      </c>
      <c r="Z9" s="60">
        <f t="shared" si="41"/>
        <v>0.62</v>
      </c>
      <c r="AA9" s="60">
        <f t="shared" ca="1" si="1"/>
        <v>3.7971891743257475</v>
      </c>
      <c r="AB9" s="60">
        <f t="shared" ca="1" si="2"/>
        <v>4.0985024281856175</v>
      </c>
      <c r="AC9" s="63">
        <f t="shared" ca="1" si="3"/>
        <v>5.7133184246463475</v>
      </c>
      <c r="AD9" s="63">
        <f t="shared" ca="1" si="4"/>
        <v>8.3389633062668427</v>
      </c>
      <c r="AE9" s="63">
        <f t="shared" ca="1" si="42"/>
        <v>5.7133184246463475</v>
      </c>
      <c r="AF9" s="63">
        <f t="shared" ca="1" si="5"/>
        <v>8.0507165351338834</v>
      </c>
      <c r="AG9" s="63">
        <f t="shared" ca="1" si="6"/>
        <v>16.101433070267767</v>
      </c>
      <c r="AH9" s="63">
        <f t="shared" ca="1" si="43"/>
        <v>4.0253582675669417</v>
      </c>
      <c r="AI9" s="63">
        <f t="shared" ca="1" si="7"/>
        <v>1.1484012596749753</v>
      </c>
      <c r="AJ9" s="63">
        <f t="shared" ca="1" si="8"/>
        <v>14.813318424646345</v>
      </c>
      <c r="AK9" s="63">
        <f t="shared" ca="1" si="9"/>
        <v>7.4066592123231727</v>
      </c>
      <c r="AL9" s="63">
        <f t="shared" ca="1" si="10"/>
        <v>0.61521496054016522</v>
      </c>
      <c r="AM9" s="63">
        <f t="shared" ca="1" si="11"/>
        <v>5.25274519653924</v>
      </c>
      <c r="AN9" s="63">
        <f t="shared" ca="1" si="12"/>
        <v>7.5676735430258502</v>
      </c>
      <c r="AO9" s="63">
        <f t="shared" ca="1" si="13"/>
        <v>4.508401259674975</v>
      </c>
      <c r="AP9" s="63">
        <f t="shared" ca="1" si="14"/>
        <v>1.8046305509178182</v>
      </c>
      <c r="AQ9" s="63">
        <f t="shared" ca="1" si="15"/>
        <v>9.6043327553490236</v>
      </c>
      <c r="AR9" s="63">
        <f t="shared" ca="1" si="16"/>
        <v>1.110143307026777</v>
      </c>
      <c r="AS9" s="63">
        <f t="shared" ca="1" si="17"/>
        <v>4.508401259674975</v>
      </c>
      <c r="AT9" s="63">
        <f t="shared" ca="1" si="18"/>
        <v>10.143902834268694</v>
      </c>
      <c r="AU9" s="63">
        <f t="shared" ca="1" si="19"/>
        <v>2.2542006298374875</v>
      </c>
      <c r="AV9" s="63">
        <f t="shared" ca="1" si="20"/>
        <v>3.8963614167543801</v>
      </c>
      <c r="AW9" s="63">
        <f t="shared" ca="1" si="21"/>
        <v>1.6652149605401652</v>
      </c>
      <c r="AX9" s="63">
        <f t="shared" ca="1" si="22"/>
        <v>2.6643439368642645</v>
      </c>
      <c r="AY9" s="63">
        <f t="shared" ca="1" si="23"/>
        <v>0.88811464562142151</v>
      </c>
      <c r="AZ9" s="63">
        <f t="shared" ca="1" si="24"/>
        <v>3.381300944756231</v>
      </c>
      <c r="BA9" s="63">
        <f t="shared" ca="1" si="25"/>
        <v>5.4744872438910415</v>
      </c>
      <c r="BB9" s="63">
        <f t="shared" ca="1" si="26"/>
        <v>3.691289763240992</v>
      </c>
      <c r="BC9" s="63">
        <f t="shared" ca="1" si="27"/>
        <v>8.8562181097276031</v>
      </c>
      <c r="BD9" s="63">
        <f t="shared" ca="1" si="28"/>
        <v>2.6643439368642645</v>
      </c>
      <c r="BE9" s="63">
        <f t="shared" ca="1" si="29"/>
        <v>2.8982579526481977</v>
      </c>
      <c r="BF9" s="63">
        <f t="shared" ca="1" si="30"/>
        <v>1.6101433070267768</v>
      </c>
      <c r="BG9" s="63">
        <f t="shared" ca="1" si="44"/>
        <v>1.8046305509178182</v>
      </c>
      <c r="BH9" s="63">
        <f t="shared" ca="1" si="31"/>
        <v>13.098819999240067</v>
      </c>
      <c r="BI9" s="63">
        <f t="shared" ca="1" si="32"/>
        <v>1.776229291242843</v>
      </c>
      <c r="BJ9" s="63">
        <f t="shared" ca="1" si="33"/>
        <v>1.845644881620496</v>
      </c>
      <c r="BK9" s="63">
        <f t="shared" ca="1" si="34"/>
        <v>4.3797022044312062</v>
      </c>
      <c r="BL9" s="63">
        <f t="shared" ca="1" si="35"/>
        <v>8.2046193694025789</v>
      </c>
      <c r="BM9" s="63">
        <f t="shared" ca="1" si="45"/>
        <v>4.3797022044312062</v>
      </c>
      <c r="BN9" s="63">
        <f t="shared" ca="1" si="36"/>
        <v>4.245788188647273</v>
      </c>
      <c r="BO9" s="63">
        <f t="shared" ca="1" si="37"/>
        <v>7.8759203141588099</v>
      </c>
      <c r="BP9" s="63">
        <f t="shared" ca="1" si="46"/>
        <v>4.245788188647273</v>
      </c>
    </row>
    <row r="10" spans="1:68" x14ac:dyDescent="0.25">
      <c r="A10" t="s">
        <v>2230</v>
      </c>
      <c r="B10">
        <v>29</v>
      </c>
      <c r="C10" s="59">
        <f ca="1">22+42171-TODAY()</f>
        <v>-862</v>
      </c>
      <c r="E10" s="63">
        <f t="shared" si="38"/>
        <v>0.38392857142857145</v>
      </c>
      <c r="F10" s="588">
        <f t="shared" si="0"/>
        <v>-101014.32558139526</v>
      </c>
      <c r="G10" s="588">
        <v>30732</v>
      </c>
      <c r="H10" s="589">
        <v>42147</v>
      </c>
      <c r="I10" s="588">
        <v>1700000</v>
      </c>
      <c r="J10" s="589">
        <v>42190</v>
      </c>
      <c r="K10" s="588">
        <v>1850000</v>
      </c>
      <c r="L10" s="590">
        <v>3</v>
      </c>
      <c r="M10" s="591">
        <v>83</v>
      </c>
      <c r="N10" s="582">
        <v>5</v>
      </c>
      <c r="O10" s="311">
        <v>8.1999999999999993</v>
      </c>
      <c r="P10" s="582">
        <v>4</v>
      </c>
      <c r="Q10" s="60">
        <v>0</v>
      </c>
      <c r="R10" s="60">
        <v>12</v>
      </c>
      <c r="S10" s="60">
        <v>14</v>
      </c>
      <c r="T10" s="60">
        <v>0</v>
      </c>
      <c r="U10" s="60">
        <v>9</v>
      </c>
      <c r="V10" s="60">
        <v>3</v>
      </c>
      <c r="W10" s="60">
        <v>12</v>
      </c>
      <c r="X10" s="60">
        <f t="shared" si="39"/>
        <v>4.125</v>
      </c>
      <c r="Y10" s="60">
        <f t="shared" si="40"/>
        <v>0.51</v>
      </c>
      <c r="Z10" s="60">
        <f t="shared" si="41"/>
        <v>0.84000000000000008</v>
      </c>
      <c r="AA10" s="60">
        <f t="shared" ca="1" si="1"/>
        <v>12.016756865299989</v>
      </c>
      <c r="AB10" s="60">
        <f t="shared" ca="1" si="2"/>
        <v>13.152723283813197</v>
      </c>
      <c r="AC10" s="63">
        <f t="shared" ca="1" si="3"/>
        <v>5.2809449922573597</v>
      </c>
      <c r="AD10" s="63">
        <f t="shared" ca="1" si="4"/>
        <v>7.7192333036875889</v>
      </c>
      <c r="AE10" s="63">
        <f t="shared" ca="1" si="42"/>
        <v>5.2809449922573597</v>
      </c>
      <c r="AF10" s="63">
        <f t="shared" ca="1" si="5"/>
        <v>7.1092092349224778</v>
      </c>
      <c r="AG10" s="63">
        <f t="shared" ca="1" si="6"/>
        <v>14.218418469844956</v>
      </c>
      <c r="AH10" s="63">
        <f t="shared" ca="1" si="43"/>
        <v>3.5546046174612389</v>
      </c>
      <c r="AI10" s="63">
        <f t="shared" ca="1" si="7"/>
        <v>4.5411571715565877</v>
      </c>
      <c r="AJ10" s="63">
        <f t="shared" ca="1" si="8"/>
        <v>13.08094499225736</v>
      </c>
      <c r="AK10" s="63">
        <f t="shared" ca="1" si="9"/>
        <v>6.5404724961286798</v>
      </c>
      <c r="AL10" s="63">
        <f t="shared" ca="1" si="10"/>
        <v>2.4327627704767432</v>
      </c>
      <c r="AM10" s="63">
        <f t="shared" ca="1" si="11"/>
        <v>1.1535776043193771</v>
      </c>
      <c r="AN10" s="63">
        <f t="shared" ca="1" si="12"/>
        <v>6.6826566808271286</v>
      </c>
      <c r="AO10" s="63">
        <f t="shared" ca="1" si="13"/>
        <v>3.9811571715565881</v>
      </c>
      <c r="AP10" s="63">
        <f t="shared" ca="1" si="14"/>
        <v>7.1361041267317802</v>
      </c>
      <c r="AQ10" s="63">
        <f t="shared" ca="1" si="15"/>
        <v>3.9531291769558088</v>
      </c>
      <c r="AR10" s="63">
        <f t="shared" ca="1" si="16"/>
        <v>1.1218418469844955</v>
      </c>
      <c r="AS10" s="63">
        <f t="shared" ca="1" si="17"/>
        <v>3.9811571715565881</v>
      </c>
      <c r="AT10" s="63">
        <f t="shared" ca="1" si="18"/>
        <v>8.9576036360023217</v>
      </c>
      <c r="AU10" s="63">
        <f t="shared" ca="1" si="19"/>
        <v>1.9905785857782941</v>
      </c>
      <c r="AV10" s="63">
        <f t="shared" ca="1" si="20"/>
        <v>15.407497546352706</v>
      </c>
      <c r="AW10" s="63">
        <f t="shared" ca="1" si="21"/>
        <v>1.6827627704767434</v>
      </c>
      <c r="AX10" s="63">
        <f t="shared" ca="1" si="22"/>
        <v>2.6924204327627894</v>
      </c>
      <c r="AY10" s="63">
        <f t="shared" ca="1" si="23"/>
        <v>0.89747347758759644</v>
      </c>
      <c r="AZ10" s="63">
        <f t="shared" ca="1" si="24"/>
        <v>2.9858678786674404</v>
      </c>
      <c r="BA10" s="63">
        <f t="shared" ca="1" si="25"/>
        <v>4.8342622797472856</v>
      </c>
      <c r="BB10" s="63">
        <f t="shared" ca="1" si="26"/>
        <v>14.596576622860461</v>
      </c>
      <c r="BC10" s="63">
        <f t="shared" ca="1" si="27"/>
        <v>4.3156556993682127</v>
      </c>
      <c r="BD10" s="63">
        <f t="shared" ca="1" si="28"/>
        <v>2.6924204327627894</v>
      </c>
      <c r="BE10" s="63">
        <f t="shared" ca="1" si="29"/>
        <v>2.5593153245720921</v>
      </c>
      <c r="BF10" s="63">
        <f t="shared" ca="1" si="30"/>
        <v>1.4218418469844956</v>
      </c>
      <c r="BG10" s="63">
        <f t="shared" ca="1" si="44"/>
        <v>7.1361041267317802</v>
      </c>
      <c r="BH10" s="63">
        <f t="shared" ca="1" si="31"/>
        <v>5.2473914567030935</v>
      </c>
      <c r="BI10" s="63">
        <f t="shared" ca="1" si="32"/>
        <v>1.7949469551751929</v>
      </c>
      <c r="BJ10" s="63">
        <f t="shared" ca="1" si="33"/>
        <v>7.2982883114302304</v>
      </c>
      <c r="BK10" s="63">
        <f t="shared" ca="1" si="34"/>
        <v>3.3670250502240284</v>
      </c>
      <c r="BL10" s="63">
        <f t="shared" ca="1" si="35"/>
        <v>8.9568128709248001</v>
      </c>
      <c r="BM10" s="63">
        <f t="shared" ca="1" si="45"/>
        <v>3.3670250502240284</v>
      </c>
      <c r="BN10" s="63">
        <f t="shared" ca="1" si="36"/>
        <v>3.1101301584147256</v>
      </c>
      <c r="BO10" s="63">
        <f t="shared" ca="1" si="37"/>
        <v>9.0326807495922417</v>
      </c>
      <c r="BP10" s="63">
        <f t="shared" ca="1" si="46"/>
        <v>3.1101301584147256</v>
      </c>
    </row>
    <row r="11" spans="1:68" x14ac:dyDescent="0.25">
      <c r="A11" t="s">
        <v>2100</v>
      </c>
      <c r="B11">
        <v>28</v>
      </c>
      <c r="C11" s="59">
        <f ca="1">81+42171-TODAY()</f>
        <v>-803</v>
      </c>
      <c r="D11" t="s">
        <v>1924</v>
      </c>
      <c r="E11" s="63">
        <f t="shared" si="38"/>
        <v>0.5982142857142857</v>
      </c>
      <c r="F11" s="588">
        <f t="shared" si="0"/>
        <v>-566975.99999999977</v>
      </c>
      <c r="G11" s="588">
        <v>35436</v>
      </c>
      <c r="H11" s="589">
        <v>42123</v>
      </c>
      <c r="I11" s="588">
        <v>1020000</v>
      </c>
      <c r="J11" s="589">
        <v>42190</v>
      </c>
      <c r="K11" s="588">
        <f>I11</f>
        <v>1020000</v>
      </c>
      <c r="L11" s="590">
        <v>4</v>
      </c>
      <c r="M11" s="591">
        <v>84</v>
      </c>
      <c r="N11" s="582">
        <v>6</v>
      </c>
      <c r="O11" s="311">
        <v>11.2</v>
      </c>
      <c r="P11" s="582">
        <v>6</v>
      </c>
      <c r="Q11" s="60">
        <v>0</v>
      </c>
      <c r="R11" s="60">
        <v>9</v>
      </c>
      <c r="S11" s="60">
        <v>14.5</v>
      </c>
      <c r="T11" s="60">
        <v>4</v>
      </c>
      <c r="U11" s="60">
        <v>8</v>
      </c>
      <c r="V11" s="60">
        <v>2</v>
      </c>
      <c r="W11" s="60">
        <v>9</v>
      </c>
      <c r="X11" s="60">
        <f t="shared" si="39"/>
        <v>3.5</v>
      </c>
      <c r="Y11" s="60">
        <f t="shared" si="40"/>
        <v>0.37</v>
      </c>
      <c r="Z11" s="60">
        <f t="shared" si="41"/>
        <v>0.63</v>
      </c>
      <c r="AA11" s="60">
        <f t="shared" ca="1" si="1"/>
        <v>10.553383843634403</v>
      </c>
      <c r="AB11" s="60">
        <f t="shared" ca="1" si="2"/>
        <v>11.390812341181487</v>
      </c>
      <c r="AC11" s="63">
        <f t="shared" ca="1" si="3"/>
        <v>4.6370407744754232</v>
      </c>
      <c r="AD11" s="63">
        <f t="shared" ca="1" si="4"/>
        <v>6.7965715880775317</v>
      </c>
      <c r="AE11" s="63">
        <f t="shared" ca="1" si="42"/>
        <v>4.6370407744754232</v>
      </c>
      <c r="AF11" s="63">
        <f t="shared" ca="1" si="5"/>
        <v>5.6994786817801213</v>
      </c>
      <c r="AG11" s="63">
        <f t="shared" ca="1" si="6"/>
        <v>11.398957363560243</v>
      </c>
      <c r="AH11" s="63">
        <f t="shared" ca="1" si="43"/>
        <v>2.8497393408900606</v>
      </c>
      <c r="AI11" s="63">
        <f t="shared" ca="1" si="7"/>
        <v>4.7317080617968683</v>
      </c>
      <c r="AJ11" s="63">
        <f t="shared" ca="1" si="8"/>
        <v>10.487040774475423</v>
      </c>
      <c r="AK11" s="63">
        <f t="shared" ca="1" si="9"/>
        <v>5.2435203872377114</v>
      </c>
      <c r="AL11" s="63">
        <f t="shared" ca="1" si="10"/>
        <v>2.5348436045340361</v>
      </c>
      <c r="AM11" s="63">
        <f t="shared" ca="1" si="11"/>
        <v>3.3274578290513257</v>
      </c>
      <c r="AN11" s="63">
        <f t="shared" ca="1" si="12"/>
        <v>5.3575099608733137</v>
      </c>
      <c r="AO11" s="63">
        <f t="shared" ca="1" si="13"/>
        <v>3.1917080617968683</v>
      </c>
      <c r="AP11" s="63">
        <f t="shared" ca="1" si="14"/>
        <v>7.4355412399665068</v>
      </c>
      <c r="AQ11" s="63">
        <f t="shared" ca="1" si="15"/>
        <v>6.7910303481110246</v>
      </c>
      <c r="AR11" s="63">
        <f t="shared" ca="1" si="16"/>
        <v>1.0398957363560244</v>
      </c>
      <c r="AS11" s="63">
        <f t="shared" ca="1" si="17"/>
        <v>3.1917080617968683</v>
      </c>
      <c r="AT11" s="63">
        <f t="shared" ca="1" si="18"/>
        <v>7.1813431390429532</v>
      </c>
      <c r="AU11" s="63">
        <f t="shared" ca="1" si="19"/>
        <v>1.5958540308984341</v>
      </c>
      <c r="AV11" s="63">
        <f t="shared" ca="1" si="20"/>
        <v>16.054009495382228</v>
      </c>
      <c r="AW11" s="63">
        <f t="shared" ca="1" si="21"/>
        <v>1.5598436045340363</v>
      </c>
      <c r="AX11" s="63">
        <f t="shared" ca="1" si="22"/>
        <v>2.4957497672544582</v>
      </c>
      <c r="AY11" s="63">
        <f t="shared" ca="1" si="23"/>
        <v>0.83191658908481947</v>
      </c>
      <c r="AZ11" s="63">
        <f t="shared" ca="1" si="24"/>
        <v>2.3937810463476508</v>
      </c>
      <c r="BA11" s="63">
        <f t="shared" ca="1" si="25"/>
        <v>3.8756455036104827</v>
      </c>
      <c r="BB11" s="63">
        <f t="shared" ca="1" si="26"/>
        <v>15.209061627204219</v>
      </c>
      <c r="BC11" s="63">
        <f t="shared" ca="1" si="27"/>
        <v>6.5191137590262054</v>
      </c>
      <c r="BD11" s="63">
        <f t="shared" ca="1" si="28"/>
        <v>2.4957497672544582</v>
      </c>
      <c r="BE11" s="63">
        <f t="shared" ca="1" si="29"/>
        <v>2.0518123254408436</v>
      </c>
      <c r="BF11" s="63">
        <f t="shared" ca="1" si="30"/>
        <v>1.1398957363560243</v>
      </c>
      <c r="BG11" s="63">
        <f t="shared" ca="1" si="44"/>
        <v>7.4355412399665068</v>
      </c>
      <c r="BH11" s="63">
        <f t="shared" ca="1" si="31"/>
        <v>9.2066758517215064</v>
      </c>
      <c r="BI11" s="63">
        <f t="shared" ca="1" si="32"/>
        <v>1.6638331781696389</v>
      </c>
      <c r="BJ11" s="63">
        <f t="shared" ca="1" si="33"/>
        <v>7.6045308136021097</v>
      </c>
      <c r="BK11" s="63">
        <f t="shared" ca="1" si="34"/>
        <v>3.7154891081445185</v>
      </c>
      <c r="BL11" s="63">
        <f t="shared" ca="1" si="35"/>
        <v>8.0308218208230731</v>
      </c>
      <c r="BM11" s="63">
        <f t="shared" ca="1" si="45"/>
        <v>3.7154891081445185</v>
      </c>
      <c r="BN11" s="63">
        <f t="shared" ca="1" si="36"/>
        <v>3.559426549958133</v>
      </c>
      <c r="BO11" s="63">
        <f t="shared" ca="1" si="37"/>
        <v>7.9346028671707245</v>
      </c>
      <c r="BP11" s="63">
        <f t="shared" ca="1" si="46"/>
        <v>3.559426549958133</v>
      </c>
    </row>
    <row r="12" spans="1:68" x14ac:dyDescent="0.25">
      <c r="A12" t="s">
        <v>1730</v>
      </c>
      <c r="B12">
        <v>30</v>
      </c>
      <c r="C12" s="59">
        <f ca="1">72+42171-TODAY()</f>
        <v>-812</v>
      </c>
      <c r="D12" t="s">
        <v>1923</v>
      </c>
      <c r="E12" s="63">
        <f t="shared" si="38"/>
        <v>3.7589285714285716</v>
      </c>
      <c r="F12" s="588">
        <f t="shared" si="0"/>
        <v>-723154.24228028499</v>
      </c>
      <c r="G12" s="588">
        <v>26076</v>
      </c>
      <c r="H12" s="589">
        <v>41769</v>
      </c>
      <c r="I12" s="588">
        <v>3150000</v>
      </c>
      <c r="J12" s="589">
        <v>42190</v>
      </c>
      <c r="K12" s="588">
        <v>2000000</v>
      </c>
      <c r="L12" s="590">
        <v>0</v>
      </c>
      <c r="M12" s="591">
        <v>87</v>
      </c>
      <c r="N12" s="582">
        <v>5</v>
      </c>
      <c r="O12" s="311">
        <v>8.1999999999999993</v>
      </c>
      <c r="P12" s="582">
        <v>20</v>
      </c>
      <c r="Q12" s="60">
        <v>0</v>
      </c>
      <c r="R12" s="60">
        <v>2</v>
      </c>
      <c r="S12" s="60">
        <v>13.9</v>
      </c>
      <c r="T12" s="60">
        <v>13.9</v>
      </c>
      <c r="U12" s="60">
        <v>6</v>
      </c>
      <c r="V12" s="60">
        <v>3</v>
      </c>
      <c r="W12" s="60">
        <v>4</v>
      </c>
      <c r="X12" s="60">
        <f t="shared" si="39"/>
        <v>2.125</v>
      </c>
      <c r="Y12" s="60">
        <f t="shared" si="40"/>
        <v>0.27</v>
      </c>
      <c r="Z12" s="60">
        <f t="shared" si="41"/>
        <v>0.2</v>
      </c>
      <c r="AA12" s="60">
        <f t="shared" ca="1" si="1"/>
        <v>5.2555228274718555</v>
      </c>
      <c r="AB12" s="60">
        <f t="shared" ca="1" si="2"/>
        <v>5.7523371934991054</v>
      </c>
      <c r="AC12" s="63">
        <f t="shared" ca="1" si="3"/>
        <v>2.5809449922573595</v>
      </c>
      <c r="AD12" s="63">
        <f t="shared" ca="1" si="4"/>
        <v>3.8192333036875894</v>
      </c>
      <c r="AE12" s="63">
        <f t="shared" ca="1" si="42"/>
        <v>2.5809449922573595</v>
      </c>
      <c r="AF12" s="63">
        <f t="shared" ca="1" si="5"/>
        <v>2.1092092349224778</v>
      </c>
      <c r="AG12" s="63">
        <f t="shared" ca="1" si="6"/>
        <v>4.2184184698449556</v>
      </c>
      <c r="AH12" s="63">
        <f t="shared" ca="1" si="43"/>
        <v>1.0546046174612389</v>
      </c>
      <c r="AI12" s="63">
        <f t="shared" ca="1" si="7"/>
        <v>4.5131571715565872</v>
      </c>
      <c r="AJ12" s="63">
        <f t="shared" ca="1" si="8"/>
        <v>3.8809449922573593</v>
      </c>
      <c r="AK12" s="63">
        <f t="shared" ca="1" si="9"/>
        <v>1.9404724961286797</v>
      </c>
      <c r="AL12" s="63">
        <f t="shared" ca="1" si="10"/>
        <v>2.417762770476743</v>
      </c>
      <c r="AM12" s="63">
        <f t="shared" ca="1" si="11"/>
        <v>8.3815776043193768</v>
      </c>
      <c r="AN12" s="63">
        <f t="shared" ca="1" si="12"/>
        <v>1.9826566808271291</v>
      </c>
      <c r="AO12" s="63">
        <f t="shared" ca="1" si="13"/>
        <v>1.1811571715565876</v>
      </c>
      <c r="AP12" s="63">
        <f t="shared" ca="1" si="14"/>
        <v>7.0921041267317797</v>
      </c>
      <c r="AQ12" s="63">
        <f t="shared" ca="1" si="15"/>
        <v>13.331129176955807</v>
      </c>
      <c r="AR12" s="63">
        <f t="shared" ca="1" si="16"/>
        <v>0.82184184698449558</v>
      </c>
      <c r="AS12" s="63">
        <f t="shared" ca="1" si="17"/>
        <v>1.1811571715565876</v>
      </c>
      <c r="AT12" s="63">
        <f t="shared" ca="1" si="18"/>
        <v>2.6576036360023219</v>
      </c>
      <c r="AU12" s="63">
        <f t="shared" ca="1" si="19"/>
        <v>0.59057858577829381</v>
      </c>
      <c r="AV12" s="63">
        <f t="shared" ca="1" si="20"/>
        <v>15.312497546352706</v>
      </c>
      <c r="AW12" s="63">
        <f t="shared" ca="1" si="21"/>
        <v>1.2327627704767432</v>
      </c>
      <c r="AX12" s="63">
        <f t="shared" ca="1" si="22"/>
        <v>1.9724204327627892</v>
      </c>
      <c r="AY12" s="63">
        <f t="shared" ca="1" si="23"/>
        <v>0.65747347758759644</v>
      </c>
      <c r="AZ12" s="63">
        <f t="shared" ca="1" si="24"/>
        <v>0.88586787866744066</v>
      </c>
      <c r="BA12" s="63">
        <f t="shared" ca="1" si="25"/>
        <v>1.434262279747285</v>
      </c>
      <c r="BB12" s="63">
        <f t="shared" ca="1" si="26"/>
        <v>14.506576622860459</v>
      </c>
      <c r="BC12" s="63">
        <f t="shared" ca="1" si="27"/>
        <v>11.56765569936821</v>
      </c>
      <c r="BD12" s="63">
        <f t="shared" ca="1" si="28"/>
        <v>1.9724204327627892</v>
      </c>
      <c r="BE12" s="63">
        <f t="shared" ca="1" si="29"/>
        <v>0.75931532457209194</v>
      </c>
      <c r="BF12" s="63">
        <f t="shared" ca="1" si="30"/>
        <v>0.42184184698449556</v>
      </c>
      <c r="BG12" s="63">
        <f t="shared" ca="1" si="44"/>
        <v>7.0921041267317797</v>
      </c>
      <c r="BH12" s="63">
        <f t="shared" ca="1" si="31"/>
        <v>18.337391456703092</v>
      </c>
      <c r="BI12" s="63">
        <f t="shared" ca="1" si="32"/>
        <v>1.3149469551751929</v>
      </c>
      <c r="BJ12" s="63">
        <f t="shared" ca="1" si="33"/>
        <v>7.2532883114302296</v>
      </c>
      <c r="BK12" s="63">
        <f t="shared" ca="1" si="34"/>
        <v>4.8220250502240276</v>
      </c>
      <c r="BL12" s="63">
        <f t="shared" ca="1" si="35"/>
        <v>7.4268128709247989</v>
      </c>
      <c r="BM12" s="63">
        <f t="shared" ca="1" si="45"/>
        <v>4.8220250502240276</v>
      </c>
      <c r="BN12" s="63">
        <f t="shared" ca="1" si="36"/>
        <v>5.2221301584147257</v>
      </c>
      <c r="BO12" s="63">
        <f t="shared" ca="1" si="37"/>
        <v>8.0126807495922403</v>
      </c>
      <c r="BP12" s="63">
        <f t="shared" ca="1" si="46"/>
        <v>5.2221301584147257</v>
      </c>
    </row>
    <row r="13" spans="1:68" x14ac:dyDescent="0.25">
      <c r="A13" t="s">
        <v>2020</v>
      </c>
      <c r="B13">
        <v>27</v>
      </c>
      <c r="C13" s="59">
        <f ca="1">91+42171-TODAY()</f>
        <v>-793</v>
      </c>
      <c r="D13" t="s">
        <v>1923</v>
      </c>
      <c r="E13" s="63">
        <f t="shared" si="38"/>
        <v>1.7678571428571428</v>
      </c>
      <c r="F13" s="588">
        <f t="shared" si="0"/>
        <v>-824577.93939393945</v>
      </c>
      <c r="G13" s="588">
        <v>30324</v>
      </c>
      <c r="H13" s="589">
        <v>41992</v>
      </c>
      <c r="I13" s="588">
        <v>3300000</v>
      </c>
      <c r="J13" s="589">
        <v>42190</v>
      </c>
      <c r="K13" s="588">
        <v>2700000</v>
      </c>
      <c r="L13" s="590">
        <v>4</v>
      </c>
      <c r="M13" s="591">
        <v>95</v>
      </c>
      <c r="N13" s="582">
        <v>7</v>
      </c>
      <c r="O13" s="311">
        <v>7.8</v>
      </c>
      <c r="P13" s="582">
        <v>14</v>
      </c>
      <c r="Q13" s="60">
        <v>0</v>
      </c>
      <c r="R13" s="60">
        <v>1</v>
      </c>
      <c r="S13" s="60">
        <v>14</v>
      </c>
      <c r="T13" s="60">
        <v>12</v>
      </c>
      <c r="U13" s="60">
        <v>9</v>
      </c>
      <c r="V13" s="60">
        <v>5</v>
      </c>
      <c r="W13" s="60">
        <v>11</v>
      </c>
      <c r="X13" s="60">
        <f t="shared" si="39"/>
        <v>2.75</v>
      </c>
      <c r="Y13" s="60">
        <f t="shared" si="40"/>
        <v>0.57999999999999996</v>
      </c>
      <c r="Z13" s="60">
        <f t="shared" si="41"/>
        <v>0.37</v>
      </c>
      <c r="AA13" s="60">
        <f t="shared" ca="1" si="1"/>
        <v>13.189459470253974</v>
      </c>
      <c r="AB13" s="60">
        <f t="shared" ca="1" si="2"/>
        <v>13.189459470253974</v>
      </c>
      <c r="AC13" s="63">
        <f t="shared" ca="1" si="3"/>
        <v>2.2843027126336559</v>
      </c>
      <c r="AD13" s="63">
        <f t="shared" ca="1" si="4"/>
        <v>3.3895594742479442</v>
      </c>
      <c r="AE13" s="63">
        <f t="shared" ca="1" si="42"/>
        <v>2.2843027126336559</v>
      </c>
      <c r="AF13" s="63">
        <f t="shared" ca="1" si="5"/>
        <v>1.5947297351269869</v>
      </c>
      <c r="AG13" s="63">
        <f t="shared" ca="1" si="6"/>
        <v>3.1894594702539738</v>
      </c>
      <c r="AH13" s="63">
        <f t="shared" ca="1" si="43"/>
        <v>0.79736486756349345</v>
      </c>
      <c r="AI13" s="63">
        <f t="shared" ca="1" si="7"/>
        <v>4.5330486516711126</v>
      </c>
      <c r="AJ13" s="63">
        <f t="shared" ca="1" si="8"/>
        <v>2.9343027126336558</v>
      </c>
      <c r="AK13" s="63">
        <f t="shared" ca="1" si="9"/>
        <v>1.4671513563168279</v>
      </c>
      <c r="AL13" s="63">
        <f t="shared" ca="1" si="10"/>
        <v>2.4284189205380957</v>
      </c>
      <c r="AM13" s="63">
        <f t="shared" ca="1" si="11"/>
        <v>7.3785189245320666</v>
      </c>
      <c r="AN13" s="63">
        <f t="shared" ca="1" si="12"/>
        <v>1.4990459510193677</v>
      </c>
      <c r="AO13" s="63">
        <f t="shared" ca="1" si="13"/>
        <v>0.8930486516711128</v>
      </c>
      <c r="AP13" s="63">
        <f t="shared" ca="1" si="14"/>
        <v>7.1233621669117477</v>
      </c>
      <c r="AQ13" s="63">
        <f t="shared" ca="1" si="15"/>
        <v>12.566197307336195</v>
      </c>
      <c r="AR13" s="63">
        <f t="shared" ca="1" si="16"/>
        <v>1.1189459470253975</v>
      </c>
      <c r="AS13" s="63">
        <f t="shared" ca="1" si="17"/>
        <v>0.8930486516711128</v>
      </c>
      <c r="AT13" s="63">
        <f t="shared" ca="1" si="18"/>
        <v>2.0093594662600034</v>
      </c>
      <c r="AU13" s="63">
        <f t="shared" ca="1" si="19"/>
        <v>0.4465243258355564</v>
      </c>
      <c r="AV13" s="63">
        <f t="shared" ca="1" si="20"/>
        <v>15.379986496741273</v>
      </c>
      <c r="AW13" s="63">
        <f t="shared" ca="1" si="21"/>
        <v>1.6784189205380959</v>
      </c>
      <c r="AX13" s="63">
        <f t="shared" ca="1" si="22"/>
        <v>2.6854702728609534</v>
      </c>
      <c r="AY13" s="63">
        <f t="shared" ca="1" si="23"/>
        <v>0.89515675762031788</v>
      </c>
      <c r="AZ13" s="63">
        <f t="shared" ca="1" si="24"/>
        <v>0.66978648875333446</v>
      </c>
      <c r="BA13" s="63">
        <f t="shared" ca="1" si="25"/>
        <v>1.0844162198863512</v>
      </c>
      <c r="BB13" s="63">
        <f t="shared" ca="1" si="26"/>
        <v>14.570513523228575</v>
      </c>
      <c r="BC13" s="63">
        <f t="shared" ca="1" si="27"/>
        <v>11.251040549715878</v>
      </c>
      <c r="BD13" s="63">
        <f t="shared" ca="1" si="28"/>
        <v>2.6854702728609534</v>
      </c>
      <c r="BE13" s="63">
        <f t="shared" ca="1" si="29"/>
        <v>0.57410270464571522</v>
      </c>
      <c r="BF13" s="63">
        <f t="shared" ca="1" si="30"/>
        <v>0.31894594702539741</v>
      </c>
      <c r="BG13" s="63">
        <f t="shared" ca="1" si="44"/>
        <v>7.1233621669117477</v>
      </c>
      <c r="BH13" s="63">
        <f t="shared" ca="1" si="31"/>
        <v>17.210613527222549</v>
      </c>
      <c r="BI13" s="63">
        <f t="shared" ca="1" si="32"/>
        <v>1.7903135152406358</v>
      </c>
      <c r="BJ13" s="63">
        <f t="shared" ca="1" si="33"/>
        <v>7.2852567616142876</v>
      </c>
      <c r="BK13" s="63">
        <f t="shared" ca="1" si="34"/>
        <v>5.4128351404244466</v>
      </c>
      <c r="BL13" s="63">
        <f t="shared" ca="1" si="35"/>
        <v>10.164089201386989</v>
      </c>
      <c r="BM13" s="63">
        <f t="shared" ca="1" si="45"/>
        <v>5.4128351404244466</v>
      </c>
      <c r="BN13" s="63">
        <f t="shared" ca="1" si="36"/>
        <v>5.7342027086396854</v>
      </c>
      <c r="BO13" s="63">
        <f t="shared" ca="1" si="37"/>
        <v>10.993875690140325</v>
      </c>
      <c r="BP13" s="63">
        <f t="shared" ca="1" si="46"/>
        <v>5.7342027086396854</v>
      </c>
    </row>
    <row r="14" spans="1:68" x14ac:dyDescent="0.25">
      <c r="A14" t="s">
        <v>1930</v>
      </c>
      <c r="B14">
        <v>29</v>
      </c>
      <c r="C14" s="59">
        <f ca="1">99+42171-TODAY()</f>
        <v>-785</v>
      </c>
      <c r="D14" t="s">
        <v>1923</v>
      </c>
      <c r="E14" s="63">
        <f t="shared" si="38"/>
        <v>2.4196428571428572</v>
      </c>
      <c r="F14" s="588">
        <f t="shared" si="0"/>
        <v>-826349.57933579339</v>
      </c>
      <c r="G14" s="588">
        <v>16776</v>
      </c>
      <c r="H14" s="589">
        <v>41919</v>
      </c>
      <c r="I14" s="588">
        <v>2600000</v>
      </c>
      <c r="J14" s="589">
        <v>42190</v>
      </c>
      <c r="K14" s="588">
        <v>1250000</v>
      </c>
      <c r="L14" s="590">
        <v>3</v>
      </c>
      <c r="M14" s="591">
        <v>89</v>
      </c>
      <c r="N14" s="582">
        <v>5</v>
      </c>
      <c r="O14" s="311">
        <v>7.6</v>
      </c>
      <c r="P14" s="582">
        <v>16</v>
      </c>
      <c r="Q14" s="60">
        <v>0</v>
      </c>
      <c r="R14" s="60">
        <v>3</v>
      </c>
      <c r="S14" s="60">
        <v>12</v>
      </c>
      <c r="T14" s="60">
        <v>13</v>
      </c>
      <c r="U14" s="60">
        <v>8.9</v>
      </c>
      <c r="V14" s="60">
        <v>7</v>
      </c>
      <c r="W14" s="60">
        <v>10</v>
      </c>
      <c r="X14" s="60">
        <f t="shared" si="39"/>
        <v>2.9750000000000001</v>
      </c>
      <c r="Y14" s="60">
        <f t="shared" si="40"/>
        <v>0.65</v>
      </c>
      <c r="Z14" s="60">
        <f t="shared" si="41"/>
        <v>0.42000000000000004</v>
      </c>
      <c r="AA14" s="60">
        <f t="shared" ca="1" si="1"/>
        <v>10.289261275532109</v>
      </c>
      <c r="AB14" s="60">
        <f t="shared" ca="1" si="2"/>
        <v>11.261924316927603</v>
      </c>
      <c r="AC14" s="63">
        <f t="shared" ca="1" si="3"/>
        <v>2.8104646731977705</v>
      </c>
      <c r="AD14" s="63">
        <f t="shared" ca="1" si="4"/>
        <v>4.1489528285662445</v>
      </c>
      <c r="AE14" s="63">
        <f t="shared" ca="1" si="42"/>
        <v>2.8104646731977705</v>
      </c>
      <c r="AF14" s="63">
        <f t="shared" ca="1" si="5"/>
        <v>2.5872090615205274</v>
      </c>
      <c r="AG14" s="63">
        <f t="shared" ca="1" si="6"/>
        <v>5.1744181230410549</v>
      </c>
      <c r="AH14" s="63">
        <f t="shared" ca="1" si="43"/>
        <v>1.2936045307602637</v>
      </c>
      <c r="AI14" s="63">
        <f t="shared" ca="1" si="7"/>
        <v>3.9688370744514958</v>
      </c>
      <c r="AJ14" s="63">
        <f t="shared" ca="1" si="8"/>
        <v>4.7604646731977711</v>
      </c>
      <c r="AK14" s="63">
        <f t="shared" ca="1" si="9"/>
        <v>2.3802323365988856</v>
      </c>
      <c r="AL14" s="63">
        <f t="shared" ca="1" si="10"/>
        <v>2.1261627184561585</v>
      </c>
      <c r="AM14" s="63">
        <f t="shared" ca="1" si="11"/>
        <v>7.890697423981349</v>
      </c>
      <c r="AN14" s="63">
        <f t="shared" ca="1" si="12"/>
        <v>2.4319765178292956</v>
      </c>
      <c r="AO14" s="63">
        <f t="shared" ca="1" si="13"/>
        <v>1.4488370744514956</v>
      </c>
      <c r="AP14" s="63">
        <f t="shared" ca="1" si="14"/>
        <v>6.2367439741380641</v>
      </c>
      <c r="AQ14" s="63">
        <f t="shared" ca="1" si="15"/>
        <v>13.251208854428182</v>
      </c>
      <c r="AR14" s="63">
        <f t="shared" ca="1" si="16"/>
        <v>1.1074418123041057</v>
      </c>
      <c r="AS14" s="63">
        <f t="shared" ca="1" si="17"/>
        <v>1.4488370744514956</v>
      </c>
      <c r="AT14" s="63">
        <f t="shared" ca="1" si="18"/>
        <v>3.2598834175158644</v>
      </c>
      <c r="AU14" s="63">
        <f t="shared" ca="1" si="19"/>
        <v>0.72441853722574778</v>
      </c>
      <c r="AV14" s="63">
        <f t="shared" ca="1" si="20"/>
        <v>13.465697216889001</v>
      </c>
      <c r="AW14" s="63">
        <f t="shared" ca="1" si="21"/>
        <v>1.6611627184561584</v>
      </c>
      <c r="AX14" s="63">
        <f t="shared" ca="1" si="22"/>
        <v>2.6578603495298534</v>
      </c>
      <c r="AY14" s="63">
        <f t="shared" ca="1" si="23"/>
        <v>0.8859534498432845</v>
      </c>
      <c r="AZ14" s="63">
        <f t="shared" ca="1" si="24"/>
        <v>1.0866278058386214</v>
      </c>
      <c r="BA14" s="63">
        <f t="shared" ca="1" si="25"/>
        <v>1.7593021618339588</v>
      </c>
      <c r="BB14" s="63">
        <f t="shared" ca="1" si="26"/>
        <v>12.756976310736951</v>
      </c>
      <c r="BC14" s="63">
        <f t="shared" ca="1" si="27"/>
        <v>11.791255404584897</v>
      </c>
      <c r="BD14" s="63">
        <f t="shared" ca="1" si="28"/>
        <v>2.6578603495298534</v>
      </c>
      <c r="BE14" s="63">
        <f t="shared" ca="1" si="29"/>
        <v>0.93139526214738988</v>
      </c>
      <c r="BF14" s="63">
        <f t="shared" ca="1" si="30"/>
        <v>0.51744181230410546</v>
      </c>
      <c r="BG14" s="63">
        <f t="shared" ca="1" si="44"/>
        <v>6.2367439741380641</v>
      </c>
      <c r="BH14" s="63">
        <f t="shared" ca="1" si="31"/>
        <v>18.164511016262139</v>
      </c>
      <c r="BI14" s="63">
        <f t="shared" ca="1" si="32"/>
        <v>1.771906899686569</v>
      </c>
      <c r="BJ14" s="63">
        <f t="shared" ca="1" si="33"/>
        <v>6.3784881553684754</v>
      </c>
      <c r="BK14" s="63">
        <f t="shared" ca="1" si="34"/>
        <v>5.7944648802901169</v>
      </c>
      <c r="BL14" s="63">
        <f t="shared" ca="1" si="35"/>
        <v>11.336092479036393</v>
      </c>
      <c r="BM14" s="63">
        <f t="shared" ca="1" si="45"/>
        <v>5.7944648802901169</v>
      </c>
      <c r="BN14" s="63">
        <f t="shared" ca="1" si="36"/>
        <v>6.3729299676725804</v>
      </c>
      <c r="BO14" s="63">
        <f t="shared" ca="1" si="37"/>
        <v>12.939720284875015</v>
      </c>
      <c r="BP14" s="63">
        <f t="shared" ca="1" si="46"/>
        <v>6.3729299676725804</v>
      </c>
    </row>
    <row r="15" spans="1:68" x14ac:dyDescent="0.25">
      <c r="A15" t="s">
        <v>2025</v>
      </c>
      <c r="B15">
        <v>30</v>
      </c>
      <c r="C15" s="59">
        <f ca="1">91+42171-TODAY()</f>
        <v>-793</v>
      </c>
      <c r="D15" t="s">
        <v>1782</v>
      </c>
      <c r="E15" s="63">
        <f t="shared" si="38"/>
        <v>1.5446428571428572</v>
      </c>
      <c r="F15" s="588">
        <f t="shared" si="0"/>
        <v>-790301.96531791915</v>
      </c>
      <c r="G15" s="588">
        <v>27180</v>
      </c>
      <c r="H15" s="589">
        <v>42017</v>
      </c>
      <c r="I15" s="588">
        <v>1299000</v>
      </c>
      <c r="J15" s="589">
        <v>42190</v>
      </c>
      <c r="K15" s="588">
        <v>750000</v>
      </c>
      <c r="L15" s="590">
        <v>2</v>
      </c>
      <c r="M15" s="591">
        <v>87</v>
      </c>
      <c r="N15" s="582">
        <v>5</v>
      </c>
      <c r="O15" s="311">
        <v>6</v>
      </c>
      <c r="P15" s="582">
        <v>13</v>
      </c>
      <c r="Q15" s="60">
        <v>0</v>
      </c>
      <c r="R15" s="60">
        <v>2</v>
      </c>
      <c r="S15" s="60">
        <v>10</v>
      </c>
      <c r="T15" s="60">
        <v>15.8</v>
      </c>
      <c r="U15" s="60">
        <v>5</v>
      </c>
      <c r="V15" s="60">
        <v>4</v>
      </c>
      <c r="W15" s="60">
        <v>12</v>
      </c>
      <c r="X15" s="60">
        <f t="shared" si="39"/>
        <v>1.875</v>
      </c>
      <c r="Y15" s="60">
        <f t="shared" si="40"/>
        <v>0.55999999999999994</v>
      </c>
      <c r="Z15" s="60">
        <f t="shared" si="41"/>
        <v>0.43999999999999995</v>
      </c>
      <c r="AA15" s="60">
        <f t="shared" ca="1" si="1"/>
        <v>11.863882431582784</v>
      </c>
      <c r="AB15" s="60">
        <f t="shared" ca="1" si="2"/>
        <v>12.985397345010337</v>
      </c>
      <c r="AC15" s="63">
        <f t="shared" ca="1" si="3"/>
        <v>2.4145322004706031</v>
      </c>
      <c r="AD15" s="63">
        <f t="shared" ca="1" si="4"/>
        <v>3.5714229507007893</v>
      </c>
      <c r="AE15" s="63">
        <f t="shared" ca="1" si="42"/>
        <v>2.4145322004706031</v>
      </c>
      <c r="AF15" s="63">
        <f t="shared" ca="1" si="5"/>
        <v>2.0187675002557626</v>
      </c>
      <c r="AG15" s="63">
        <f t="shared" ca="1" si="6"/>
        <v>4.0375350005115251</v>
      </c>
      <c r="AH15" s="63">
        <f t="shared" ca="1" si="43"/>
        <v>1.0093837501278813</v>
      </c>
      <c r="AI15" s="63">
        <f t="shared" ca="1" si="7"/>
        <v>3.3705098001432274</v>
      </c>
      <c r="AJ15" s="63">
        <f t="shared" ca="1" si="8"/>
        <v>3.7145322004706034</v>
      </c>
      <c r="AK15" s="63">
        <f t="shared" ca="1" si="9"/>
        <v>1.8572661002353017</v>
      </c>
      <c r="AL15" s="63">
        <f t="shared" ca="1" si="10"/>
        <v>1.8056302500767287</v>
      </c>
      <c r="AM15" s="63">
        <f t="shared" ca="1" si="11"/>
        <v>9.2755182002659939</v>
      </c>
      <c r="AN15" s="63">
        <f t="shared" ca="1" si="12"/>
        <v>1.8976414502404166</v>
      </c>
      <c r="AO15" s="63">
        <f t="shared" ca="1" si="13"/>
        <v>1.1305098001432272</v>
      </c>
      <c r="AP15" s="63">
        <f t="shared" ca="1" si="14"/>
        <v>5.2965154002250712</v>
      </c>
      <c r="AQ15" s="63">
        <f t="shared" ca="1" si="15"/>
        <v>14.320907550475718</v>
      </c>
      <c r="AR15" s="63">
        <f t="shared" ca="1" si="16"/>
        <v>0.70375350005115256</v>
      </c>
      <c r="AS15" s="63">
        <f t="shared" ca="1" si="17"/>
        <v>1.1305098001432272</v>
      </c>
      <c r="AT15" s="63">
        <f t="shared" ca="1" si="18"/>
        <v>2.543647050322261</v>
      </c>
      <c r="AU15" s="63">
        <f t="shared" ca="1" si="19"/>
        <v>0.56525490007161361</v>
      </c>
      <c r="AV15" s="63">
        <f t="shared" ca="1" si="20"/>
        <v>11.435658250485949</v>
      </c>
      <c r="AW15" s="63">
        <f t="shared" ca="1" si="21"/>
        <v>1.0556302500767287</v>
      </c>
      <c r="AX15" s="63">
        <f t="shared" ca="1" si="22"/>
        <v>1.6890084001227659</v>
      </c>
      <c r="AY15" s="63">
        <f t="shared" ca="1" si="23"/>
        <v>0.56300280004092207</v>
      </c>
      <c r="AZ15" s="63">
        <f t="shared" ca="1" si="24"/>
        <v>0.8478823501074203</v>
      </c>
      <c r="BA15" s="63">
        <f t="shared" ca="1" si="25"/>
        <v>1.3727619001739186</v>
      </c>
      <c r="BB15" s="63">
        <f t="shared" ca="1" si="26"/>
        <v>10.833781500460374</v>
      </c>
      <c r="BC15" s="63">
        <f t="shared" ca="1" si="27"/>
        <v>12.245904750434795</v>
      </c>
      <c r="BD15" s="63">
        <f t="shared" ca="1" si="28"/>
        <v>1.6890084001227659</v>
      </c>
      <c r="BE15" s="63">
        <f t="shared" ca="1" si="29"/>
        <v>0.72675630009207448</v>
      </c>
      <c r="BF15" s="63">
        <f t="shared" ca="1" si="30"/>
        <v>0.40375350005115251</v>
      </c>
      <c r="BG15" s="63">
        <f t="shared" ca="1" si="44"/>
        <v>5.2965154002250712</v>
      </c>
      <c r="BH15" s="63">
        <f t="shared" ca="1" si="31"/>
        <v>19.737669450649637</v>
      </c>
      <c r="BI15" s="63">
        <f t="shared" ca="1" si="32"/>
        <v>1.1260056000818441</v>
      </c>
      <c r="BJ15" s="63">
        <f t="shared" ca="1" si="33"/>
        <v>5.4168907502301868</v>
      </c>
      <c r="BK15" s="63">
        <f t="shared" ca="1" si="34"/>
        <v>4.9383921502506469</v>
      </c>
      <c r="BL15" s="63">
        <f t="shared" ca="1" si="35"/>
        <v>7.332414550578024</v>
      </c>
      <c r="BM15" s="63">
        <f t="shared" ca="1" si="45"/>
        <v>4.9383921502506469</v>
      </c>
      <c r="BN15" s="63">
        <f t="shared" ca="1" si="36"/>
        <v>5.5746442502813389</v>
      </c>
      <c r="BO15" s="63">
        <f t="shared" ca="1" si="37"/>
        <v>8.4302969006854447</v>
      </c>
      <c r="BP15" s="63">
        <f t="shared" ca="1" si="46"/>
        <v>5.5746442502813389</v>
      </c>
    </row>
    <row r="16" spans="1:68" x14ac:dyDescent="0.25">
      <c r="A16" t="s">
        <v>2077</v>
      </c>
      <c r="B16">
        <v>28</v>
      </c>
      <c r="C16" s="59">
        <f ca="1">17+42171-TODAY()</f>
        <v>-867</v>
      </c>
      <c r="D16" t="s">
        <v>1782</v>
      </c>
      <c r="E16" s="63">
        <f t="shared" si="38"/>
        <v>0.7678571428571429</v>
      </c>
      <c r="F16" s="588">
        <f t="shared" si="0"/>
        <v>-1077169.8604651161</v>
      </c>
      <c r="G16" s="588">
        <v>20988</v>
      </c>
      <c r="H16" s="589">
        <v>42104</v>
      </c>
      <c r="I16" s="588">
        <v>2869260</v>
      </c>
      <c r="J16" s="589">
        <v>42190</v>
      </c>
      <c r="K16" s="588">
        <v>2300000</v>
      </c>
      <c r="L16" s="590">
        <v>4</v>
      </c>
      <c r="M16" s="591">
        <v>87</v>
      </c>
      <c r="N16" s="582">
        <v>3</v>
      </c>
      <c r="O16" s="311">
        <v>7.5</v>
      </c>
      <c r="P16" s="582">
        <v>8</v>
      </c>
      <c r="Q16" s="60">
        <v>0</v>
      </c>
      <c r="R16" s="60">
        <v>3</v>
      </c>
      <c r="S16" s="60">
        <v>12</v>
      </c>
      <c r="T16" s="60">
        <v>14</v>
      </c>
      <c r="U16" s="60">
        <v>9</v>
      </c>
      <c r="V16" s="60">
        <v>4</v>
      </c>
      <c r="W16" s="60">
        <v>7</v>
      </c>
      <c r="X16" s="60">
        <f t="shared" si="39"/>
        <v>3</v>
      </c>
      <c r="Y16" s="60">
        <f t="shared" si="40"/>
        <v>0.41</v>
      </c>
      <c r="Z16" s="60">
        <f t="shared" si="41"/>
        <v>0.33</v>
      </c>
      <c r="AA16" s="60">
        <f t="shared" ca="1" si="1"/>
        <v>6.0010454565621325</v>
      </c>
      <c r="AB16" s="60">
        <f t="shared" ca="1" si="2"/>
        <v>6.9207432361267589</v>
      </c>
      <c r="AC16" s="63">
        <f t="shared" ca="1" si="3"/>
        <v>2.8034084830938184</v>
      </c>
      <c r="AD16" s="63">
        <f t="shared" ca="1" si="4"/>
        <v>4.1384452411288386</v>
      </c>
      <c r="AE16" s="63">
        <f t="shared" ca="1" si="42"/>
        <v>2.8034084830938184</v>
      </c>
      <c r="AF16" s="63">
        <f t="shared" ca="1" si="5"/>
        <v>2.5833741755944666</v>
      </c>
      <c r="AG16" s="63">
        <f t="shared" ca="1" si="6"/>
        <v>5.1667483511889332</v>
      </c>
      <c r="AH16" s="63">
        <f t="shared" ca="1" si="43"/>
        <v>1.2916870877972333</v>
      </c>
      <c r="AI16" s="63">
        <f t="shared" ca="1" si="7"/>
        <v>3.9666895383329019</v>
      </c>
      <c r="AJ16" s="63">
        <f t="shared" ca="1" si="8"/>
        <v>4.7534084830938186</v>
      </c>
      <c r="AK16" s="63">
        <f t="shared" ca="1" si="9"/>
        <v>2.3767042415469093</v>
      </c>
      <c r="AL16" s="63">
        <f t="shared" ca="1" si="10"/>
        <v>2.1250122526783399</v>
      </c>
      <c r="AM16" s="63">
        <f t="shared" ca="1" si="11"/>
        <v>8.4067091426182454</v>
      </c>
      <c r="AN16" s="63">
        <f t="shared" ca="1" si="12"/>
        <v>2.4283717250587986</v>
      </c>
      <c r="AO16" s="63">
        <f t="shared" ca="1" si="13"/>
        <v>1.4466895383329015</v>
      </c>
      <c r="AP16" s="63">
        <f t="shared" ca="1" si="14"/>
        <v>6.2333692745231311</v>
      </c>
      <c r="AQ16" s="63">
        <f t="shared" ca="1" si="15"/>
        <v>13.985075966605708</v>
      </c>
      <c r="AR16" s="63">
        <f t="shared" ca="1" si="16"/>
        <v>1.1166748351188935</v>
      </c>
      <c r="AS16" s="63">
        <f t="shared" ca="1" si="17"/>
        <v>1.4466895383329015</v>
      </c>
      <c r="AT16" s="63">
        <f t="shared" ca="1" si="18"/>
        <v>3.2550514612490278</v>
      </c>
      <c r="AU16" s="63">
        <f t="shared" ca="1" si="19"/>
        <v>0.72334476916645074</v>
      </c>
      <c r="AV16" s="63">
        <f t="shared" ca="1" si="20"/>
        <v>13.458410933629487</v>
      </c>
      <c r="AW16" s="63">
        <f t="shared" ca="1" si="21"/>
        <v>1.67501225267834</v>
      </c>
      <c r="AX16" s="63">
        <f t="shared" ca="1" si="22"/>
        <v>2.6800196042853441</v>
      </c>
      <c r="AY16" s="63">
        <f t="shared" ca="1" si="23"/>
        <v>0.89333986809511479</v>
      </c>
      <c r="AZ16" s="63">
        <f t="shared" ca="1" si="24"/>
        <v>1.085017153749676</v>
      </c>
      <c r="BA16" s="63">
        <f t="shared" ca="1" si="25"/>
        <v>1.7566944394042374</v>
      </c>
      <c r="BB16" s="63">
        <f t="shared" ca="1" si="26"/>
        <v>12.75007351607004</v>
      </c>
      <c r="BC16" s="63">
        <f t="shared" ca="1" si="27"/>
        <v>12.391736098510592</v>
      </c>
      <c r="BD16" s="63">
        <f t="shared" ca="1" si="28"/>
        <v>2.6800196042853441</v>
      </c>
      <c r="BE16" s="63">
        <f t="shared" ca="1" si="29"/>
        <v>0.93001470321400792</v>
      </c>
      <c r="BF16" s="63">
        <f t="shared" ca="1" si="30"/>
        <v>0.51667483511889334</v>
      </c>
      <c r="BG16" s="63">
        <f t="shared" ca="1" si="44"/>
        <v>6.2333692745231311</v>
      </c>
      <c r="BH16" s="63">
        <f t="shared" ca="1" si="31"/>
        <v>19.181770406009946</v>
      </c>
      <c r="BI16" s="63">
        <f t="shared" ca="1" si="32"/>
        <v>1.7866797361902296</v>
      </c>
      <c r="BJ16" s="63">
        <f t="shared" ca="1" si="33"/>
        <v>6.3750367580350202</v>
      </c>
      <c r="BK16" s="63">
        <f t="shared" ca="1" si="34"/>
        <v>5.5717066920825769</v>
      </c>
      <c r="BL16" s="63">
        <f t="shared" ca="1" si="35"/>
        <v>9.5184256368434959</v>
      </c>
      <c r="BM16" s="63">
        <f t="shared" ca="1" si="45"/>
        <v>5.5717066920825769</v>
      </c>
      <c r="BN16" s="63">
        <f t="shared" ca="1" si="36"/>
        <v>5.8417115931539136</v>
      </c>
      <c r="BO16" s="63">
        <f t="shared" ca="1" si="37"/>
        <v>9.9634427905931702</v>
      </c>
      <c r="BP16" s="63">
        <f t="shared" ca="1" si="46"/>
        <v>5.8417115931539136</v>
      </c>
    </row>
    <row r="17" spans="1:68" x14ac:dyDescent="0.25">
      <c r="A17" t="s">
        <v>2030</v>
      </c>
      <c r="B17">
        <v>30</v>
      </c>
      <c r="C17" s="59">
        <f ca="1">20+42171-TODAY()</f>
        <v>-864</v>
      </c>
      <c r="D17" t="s">
        <v>1782</v>
      </c>
      <c r="E17" s="63">
        <f t="shared" si="38"/>
        <v>1.4732142857142858</v>
      </c>
      <c r="F17" s="588">
        <f t="shared" si="0"/>
        <v>-307331.87878787878</v>
      </c>
      <c r="G17" s="588">
        <v>11784</v>
      </c>
      <c r="H17" s="589">
        <v>42025</v>
      </c>
      <c r="I17" s="588">
        <v>1275000</v>
      </c>
      <c r="J17" s="589">
        <v>42190</v>
      </c>
      <c r="K17" s="588">
        <v>1100000</v>
      </c>
      <c r="L17" s="590">
        <v>5</v>
      </c>
      <c r="M17" s="591">
        <v>84</v>
      </c>
      <c r="N17" s="582">
        <v>7</v>
      </c>
      <c r="O17" s="311">
        <v>7.4</v>
      </c>
      <c r="P17" s="582">
        <v>12</v>
      </c>
      <c r="Q17" s="60">
        <v>0</v>
      </c>
      <c r="R17" s="60">
        <v>2</v>
      </c>
      <c r="S17" s="60">
        <v>12</v>
      </c>
      <c r="T17" s="60">
        <v>12</v>
      </c>
      <c r="U17" s="60">
        <v>9</v>
      </c>
      <c r="V17" s="60">
        <v>5</v>
      </c>
      <c r="W17" s="60">
        <v>3</v>
      </c>
      <c r="X17" s="60">
        <f t="shared" si="39"/>
        <v>2.875</v>
      </c>
      <c r="Y17" s="60">
        <f t="shared" si="40"/>
        <v>0.33999999999999997</v>
      </c>
      <c r="Z17" s="60">
        <f t="shared" si="41"/>
        <v>0.16999999999999998</v>
      </c>
      <c r="AA17" s="60">
        <f t="shared" ca="1" si="1"/>
        <v>5.158975626307968</v>
      </c>
      <c r="AB17" s="60">
        <f t="shared" ca="1" si="2"/>
        <v>5.158975626307968</v>
      </c>
      <c r="AC17" s="63">
        <f t="shared" ca="1" si="3"/>
        <v>2.5262575762033306</v>
      </c>
      <c r="AD17" s="63">
        <f t="shared" ca="1" si="4"/>
        <v>3.7377966080419158</v>
      </c>
      <c r="AE17" s="63">
        <f t="shared" ca="1" si="42"/>
        <v>2.5262575762033306</v>
      </c>
      <c r="AF17" s="63">
        <f t="shared" ca="1" si="5"/>
        <v>2.079487813153984</v>
      </c>
      <c r="AG17" s="63">
        <f t="shared" ca="1" si="6"/>
        <v>4.158975626307968</v>
      </c>
      <c r="AH17" s="63">
        <f t="shared" ca="1" si="43"/>
        <v>1.039743906576992</v>
      </c>
      <c r="AI17" s="63">
        <f t="shared" ca="1" si="7"/>
        <v>3.9645131753662315</v>
      </c>
      <c r="AJ17" s="63">
        <f t="shared" ca="1" si="8"/>
        <v>3.8262575762033308</v>
      </c>
      <c r="AK17" s="63">
        <f t="shared" ca="1" si="9"/>
        <v>1.9131287881016654</v>
      </c>
      <c r="AL17" s="63">
        <f t="shared" ca="1" si="10"/>
        <v>2.1238463439461954</v>
      </c>
      <c r="AM17" s="63">
        <f t="shared" ca="1" si="11"/>
        <v>7.3626673256801443</v>
      </c>
      <c r="AN17" s="63">
        <f t="shared" ca="1" si="12"/>
        <v>1.9547185443647448</v>
      </c>
      <c r="AO17" s="63">
        <f t="shared" ca="1" si="13"/>
        <v>1.1645131753662312</v>
      </c>
      <c r="AP17" s="63">
        <f t="shared" ca="1" si="14"/>
        <v>6.2299492755755059</v>
      </c>
      <c r="AQ17" s="63">
        <f t="shared" ca="1" si="15"/>
        <v>12.537847332466409</v>
      </c>
      <c r="AR17" s="63">
        <f t="shared" ca="1" si="16"/>
        <v>1.115897562630797</v>
      </c>
      <c r="AS17" s="63">
        <f t="shared" ca="1" si="17"/>
        <v>1.1645131753662312</v>
      </c>
      <c r="AT17" s="63">
        <f t="shared" ca="1" si="18"/>
        <v>2.6201546445740198</v>
      </c>
      <c r="AU17" s="63">
        <f t="shared" ca="1" si="19"/>
        <v>0.58225658768311561</v>
      </c>
      <c r="AV17" s="63">
        <f t="shared" ca="1" si="20"/>
        <v>13.451026844992569</v>
      </c>
      <c r="AW17" s="63">
        <f t="shared" ca="1" si="21"/>
        <v>1.6738463439461952</v>
      </c>
      <c r="AX17" s="63">
        <f t="shared" ca="1" si="22"/>
        <v>2.6781541503139126</v>
      </c>
      <c r="AY17" s="63">
        <f t="shared" ca="1" si="23"/>
        <v>0.89271805010463756</v>
      </c>
      <c r="AZ17" s="63">
        <f t="shared" ca="1" si="24"/>
        <v>0.87338488152467331</v>
      </c>
      <c r="BA17" s="63">
        <f t="shared" ca="1" si="25"/>
        <v>1.4140517129447092</v>
      </c>
      <c r="BB17" s="63">
        <f t="shared" ca="1" si="26"/>
        <v>12.743078063677173</v>
      </c>
      <c r="BC17" s="63">
        <f t="shared" ca="1" si="27"/>
        <v>11.225129282361774</v>
      </c>
      <c r="BD17" s="63">
        <f t="shared" ca="1" si="28"/>
        <v>2.6781541503139126</v>
      </c>
      <c r="BE17" s="63">
        <f t="shared" ca="1" si="29"/>
        <v>0.7486156127354342</v>
      </c>
      <c r="BF17" s="63">
        <f t="shared" ca="1" si="30"/>
        <v>0.4158975626307968</v>
      </c>
      <c r="BG17" s="63">
        <f t="shared" ca="1" si="44"/>
        <v>6.2299492755755059</v>
      </c>
      <c r="BH17" s="63">
        <f t="shared" ca="1" si="31"/>
        <v>17.17189904541112</v>
      </c>
      <c r="BI17" s="63">
        <f t="shared" ca="1" si="32"/>
        <v>1.7854361002092751</v>
      </c>
      <c r="BJ17" s="63">
        <f t="shared" ca="1" si="33"/>
        <v>6.3715390318385863</v>
      </c>
      <c r="BK17" s="63">
        <f t="shared" ca="1" si="34"/>
        <v>5.3978980568909041</v>
      </c>
      <c r="BL17" s="63">
        <f t="shared" ca="1" si="35"/>
        <v>10.129642457728004</v>
      </c>
      <c r="BM17" s="63">
        <f t="shared" ca="1" si="45"/>
        <v>5.3978980568909041</v>
      </c>
      <c r="BN17" s="63">
        <f t="shared" ca="1" si="36"/>
        <v>5.7174365944693823</v>
      </c>
      <c r="BO17" s="63">
        <f t="shared" ca="1" si="37"/>
        <v>10.953027339252678</v>
      </c>
      <c r="BP17" s="63">
        <f t="shared" ca="1" si="46"/>
        <v>5.7174365944693823</v>
      </c>
    </row>
    <row r="18" spans="1:68" x14ac:dyDescent="0.25">
      <c r="A18" t="s">
        <v>1925</v>
      </c>
      <c r="B18">
        <v>29</v>
      </c>
      <c r="C18" s="59">
        <f ca="1">89+42171-TODAY()</f>
        <v>-795</v>
      </c>
      <c r="D18" t="s">
        <v>1706</v>
      </c>
      <c r="E18" s="63">
        <f t="shared" si="38"/>
        <v>4.2053571428571432</v>
      </c>
      <c r="F18" s="588">
        <f t="shared" si="0"/>
        <v>-768741.36730360927</v>
      </c>
      <c r="G18" s="588">
        <v>18144</v>
      </c>
      <c r="H18" s="589">
        <v>41899</v>
      </c>
      <c r="I18" s="588">
        <v>2012000</v>
      </c>
      <c r="J18" s="589">
        <v>42370</v>
      </c>
      <c r="K18" s="588">
        <v>0</v>
      </c>
      <c r="L18" s="590">
        <v>6</v>
      </c>
      <c r="M18" s="591">
        <v>89</v>
      </c>
      <c r="N18" s="582">
        <v>6</v>
      </c>
      <c r="O18" s="311">
        <v>8.6</v>
      </c>
      <c r="P18" s="582">
        <v>17</v>
      </c>
      <c r="Q18" s="60">
        <v>0</v>
      </c>
      <c r="R18" s="60">
        <v>3</v>
      </c>
      <c r="S18" s="60">
        <v>10</v>
      </c>
      <c r="T18" s="60">
        <v>2</v>
      </c>
      <c r="U18" s="60">
        <v>14</v>
      </c>
      <c r="V18" s="60">
        <v>7</v>
      </c>
      <c r="W18" s="60">
        <v>3</v>
      </c>
      <c r="X18" s="60">
        <f t="shared" si="39"/>
        <v>4.25</v>
      </c>
      <c r="Y18" s="60">
        <f t="shared" si="40"/>
        <v>0.44000000000000006</v>
      </c>
      <c r="Z18" s="60">
        <f t="shared" si="41"/>
        <v>0.21000000000000002</v>
      </c>
      <c r="AA18" s="60">
        <f t="shared" ca="1" si="1"/>
        <v>4.8568503315803584</v>
      </c>
      <c r="AB18" s="60">
        <f t="shared" ca="1" si="2"/>
        <v>5.2422494543877498</v>
      </c>
      <c r="AC18" s="63">
        <f t="shared" ca="1" si="3"/>
        <v>2.8763181001921101</v>
      </c>
      <c r="AD18" s="63">
        <f t="shared" ca="1" si="4"/>
        <v>4.2470171709382507</v>
      </c>
      <c r="AE18" s="63">
        <f t="shared" ca="1" si="42"/>
        <v>2.8763181001921101</v>
      </c>
      <c r="AF18" s="63">
        <f t="shared" ca="1" si="5"/>
        <v>2.6229989674957119</v>
      </c>
      <c r="AG18" s="63">
        <f t="shared" ca="1" si="6"/>
        <v>5.2459979349914239</v>
      </c>
      <c r="AH18" s="63">
        <f t="shared" ca="1" si="43"/>
        <v>1.311499483747856</v>
      </c>
      <c r="AI18" s="63">
        <f t="shared" ca="1" si="7"/>
        <v>3.4288794217975989</v>
      </c>
      <c r="AJ18" s="63">
        <f t="shared" ca="1" si="8"/>
        <v>4.8263181001921103</v>
      </c>
      <c r="AK18" s="63">
        <f t="shared" ca="1" si="9"/>
        <v>2.4131590500960551</v>
      </c>
      <c r="AL18" s="63">
        <f t="shared" ca="1" si="10"/>
        <v>1.8368996902487136</v>
      </c>
      <c r="AM18" s="63">
        <f t="shared" ca="1" si="11"/>
        <v>2.2079189261955405</v>
      </c>
      <c r="AN18" s="63">
        <f t="shared" ca="1" si="12"/>
        <v>2.465619029445969</v>
      </c>
      <c r="AO18" s="63">
        <f t="shared" ca="1" si="13"/>
        <v>1.4688794217975989</v>
      </c>
      <c r="AP18" s="63">
        <f t="shared" ca="1" si="14"/>
        <v>5.3882390913962261</v>
      </c>
      <c r="AQ18" s="63">
        <f t="shared" ca="1" si="15"/>
        <v>6.4687780795420231</v>
      </c>
      <c r="AR18" s="63">
        <f t="shared" ca="1" si="16"/>
        <v>1.6245997934991423</v>
      </c>
      <c r="AS18" s="63">
        <f t="shared" ca="1" si="17"/>
        <v>1.4688794217975989</v>
      </c>
      <c r="AT18" s="63">
        <f t="shared" ca="1" si="18"/>
        <v>3.3049786990445971</v>
      </c>
      <c r="AU18" s="63">
        <f t="shared" ca="1" si="19"/>
        <v>0.73443971089879945</v>
      </c>
      <c r="AV18" s="63">
        <f t="shared" ca="1" si="20"/>
        <v>11.633698038241851</v>
      </c>
      <c r="AW18" s="63">
        <f t="shared" ca="1" si="21"/>
        <v>2.4368996902487132</v>
      </c>
      <c r="AX18" s="63">
        <f t="shared" ca="1" si="22"/>
        <v>3.8990395043979413</v>
      </c>
      <c r="AY18" s="63">
        <f t="shared" ca="1" si="23"/>
        <v>1.2996798347993137</v>
      </c>
      <c r="AZ18" s="63">
        <f t="shared" ca="1" si="24"/>
        <v>1.1016595663481989</v>
      </c>
      <c r="BA18" s="63">
        <f t="shared" ca="1" si="25"/>
        <v>1.7836392978970843</v>
      </c>
      <c r="BB18" s="63">
        <f t="shared" ca="1" si="26"/>
        <v>11.021398141492282</v>
      </c>
      <c r="BC18" s="63">
        <f t="shared" ca="1" si="27"/>
        <v>6.8490982447427093</v>
      </c>
      <c r="BD18" s="63">
        <f t="shared" ca="1" si="28"/>
        <v>3.8990395043979413</v>
      </c>
      <c r="BE18" s="63">
        <f t="shared" ca="1" si="29"/>
        <v>0.94427962829845624</v>
      </c>
      <c r="BF18" s="63">
        <f t="shared" ca="1" si="30"/>
        <v>0.52459979349914243</v>
      </c>
      <c r="BG18" s="63">
        <f t="shared" ca="1" si="44"/>
        <v>5.3882390913962261</v>
      </c>
      <c r="BH18" s="63">
        <f t="shared" ca="1" si="31"/>
        <v>8.6324173774391078</v>
      </c>
      <c r="BI18" s="63">
        <f t="shared" ca="1" si="32"/>
        <v>2.5993596695986274</v>
      </c>
      <c r="BJ18" s="63">
        <f t="shared" ca="1" si="33"/>
        <v>5.5106990707461412</v>
      </c>
      <c r="BK18" s="63">
        <f t="shared" ca="1" si="34"/>
        <v>6.5502188229451113</v>
      </c>
      <c r="BL18" s="63">
        <f t="shared" ca="1" si="35"/>
        <v>18.729317067687823</v>
      </c>
      <c r="BM18" s="63">
        <f t="shared" ca="1" si="45"/>
        <v>6.5502188229451113</v>
      </c>
      <c r="BN18" s="63">
        <f t="shared" ca="1" si="36"/>
        <v>5.095298864245283</v>
      </c>
      <c r="BO18" s="63">
        <f t="shared" ca="1" si="37"/>
        <v>14.769637232888508</v>
      </c>
      <c r="BP18" s="63">
        <f t="shared" ca="1" si="46"/>
        <v>5.095298864245283</v>
      </c>
    </row>
    <row r="19" spans="1:68" x14ac:dyDescent="0.25">
      <c r="A19" s="583" t="s">
        <v>720</v>
      </c>
      <c r="B19" s="583" t="s">
        <v>1763</v>
      </c>
      <c r="C19" s="583" t="s">
        <v>650</v>
      </c>
      <c r="D19" s="583" t="s">
        <v>1921</v>
      </c>
      <c r="E19" s="583" t="s">
        <v>1920</v>
      </c>
      <c r="F19" s="583" t="s">
        <v>2277</v>
      </c>
      <c r="G19" s="583" t="s">
        <v>1332</v>
      </c>
      <c r="H19" s="583" t="s">
        <v>2278</v>
      </c>
      <c r="I19" s="583" t="s">
        <v>1764</v>
      </c>
      <c r="J19" s="583" t="s">
        <v>2279</v>
      </c>
      <c r="K19" s="583" t="s">
        <v>2280</v>
      </c>
      <c r="L19" s="584" t="s">
        <v>2281</v>
      </c>
      <c r="M19" s="584" t="s">
        <v>2282</v>
      </c>
      <c r="N19" s="584" t="s">
        <v>2283</v>
      </c>
      <c r="O19" s="584" t="s">
        <v>1922</v>
      </c>
      <c r="P19" s="584" t="s">
        <v>2284</v>
      </c>
      <c r="Q19" s="584" t="s">
        <v>1488</v>
      </c>
      <c r="R19" s="584" t="s">
        <v>1242</v>
      </c>
      <c r="S19" s="584" t="s">
        <v>2285</v>
      </c>
      <c r="T19" s="584" t="s">
        <v>1300</v>
      </c>
      <c r="U19" s="584" t="s">
        <v>1489</v>
      </c>
      <c r="V19" s="584" t="s">
        <v>1996</v>
      </c>
      <c r="W19" s="584" t="s">
        <v>1490</v>
      </c>
      <c r="X19" s="585" t="s">
        <v>2018</v>
      </c>
      <c r="Y19" s="585" t="s">
        <v>1953</v>
      </c>
      <c r="Z19" s="585" t="s">
        <v>1954</v>
      </c>
      <c r="AA19" s="585" t="s">
        <v>2233</v>
      </c>
      <c r="AB19" s="585" t="s">
        <v>2234</v>
      </c>
      <c r="AC19" s="586" t="s">
        <v>2286</v>
      </c>
      <c r="AD19" s="586" t="s">
        <v>2287</v>
      </c>
      <c r="AE19" s="586" t="s">
        <v>2286</v>
      </c>
      <c r="AF19" s="587" t="s">
        <v>2286</v>
      </c>
      <c r="AG19" s="587" t="s">
        <v>2287</v>
      </c>
      <c r="AH19" s="587" t="s">
        <v>2286</v>
      </c>
      <c r="AI19" s="587" t="s">
        <v>2288</v>
      </c>
      <c r="AJ19" s="586" t="s">
        <v>2286</v>
      </c>
      <c r="AK19" s="586" t="s">
        <v>2287</v>
      </c>
      <c r="AL19" s="586" t="s">
        <v>2288</v>
      </c>
      <c r="AM19" s="586" t="s">
        <v>2289</v>
      </c>
      <c r="AN19" s="587" t="s">
        <v>2286</v>
      </c>
      <c r="AO19" s="587" t="s">
        <v>2287</v>
      </c>
      <c r="AP19" s="587" t="s">
        <v>2288</v>
      </c>
      <c r="AQ19" s="587" t="s">
        <v>2289</v>
      </c>
      <c r="AR19" s="587" t="s">
        <v>2290</v>
      </c>
      <c r="AS19" s="586" t="s">
        <v>2286</v>
      </c>
      <c r="AT19" s="586" t="s">
        <v>2287</v>
      </c>
      <c r="AU19" s="586" t="s">
        <v>2286</v>
      </c>
      <c r="AV19" s="586" t="s">
        <v>2288</v>
      </c>
      <c r="AW19" s="586" t="s">
        <v>2289</v>
      </c>
      <c r="AX19" s="586" t="s">
        <v>2290</v>
      </c>
      <c r="AY19" s="586" t="s">
        <v>2289</v>
      </c>
      <c r="AZ19" s="587" t="s">
        <v>2286</v>
      </c>
      <c r="BA19" s="587" t="s">
        <v>2287</v>
      </c>
      <c r="BB19" s="587" t="s">
        <v>2288</v>
      </c>
      <c r="BC19" s="587" t="s">
        <v>2289</v>
      </c>
      <c r="BD19" s="587" t="s">
        <v>2290</v>
      </c>
      <c r="BE19" s="586" t="s">
        <v>2286</v>
      </c>
      <c r="BF19" s="586" t="s">
        <v>2287</v>
      </c>
      <c r="BG19" s="586" t="s">
        <v>2288</v>
      </c>
      <c r="BH19" s="586" t="s">
        <v>2289</v>
      </c>
      <c r="BI19" s="586" t="s">
        <v>2290</v>
      </c>
      <c r="BJ19" s="587" t="s">
        <v>2288</v>
      </c>
      <c r="BK19" s="587" t="s">
        <v>2289</v>
      </c>
      <c r="BL19" s="587" t="s">
        <v>2290</v>
      </c>
      <c r="BM19" s="587" t="s">
        <v>2289</v>
      </c>
      <c r="BN19" s="586" t="s">
        <v>2289</v>
      </c>
      <c r="BO19" s="586" t="s">
        <v>2290</v>
      </c>
      <c r="BP19" s="586" t="s">
        <v>2289</v>
      </c>
    </row>
    <row r="20" spans="1:68" x14ac:dyDescent="0.25">
      <c r="L20" s="582"/>
      <c r="M20" s="582"/>
      <c r="N20" s="582">
        <v>6</v>
      </c>
      <c r="O20" s="582">
        <v>7</v>
      </c>
      <c r="P20" s="582"/>
      <c r="Q20" s="592">
        <v>15</v>
      </c>
      <c r="R20" s="593">
        <v>11</v>
      </c>
      <c r="S20" s="592">
        <v>0</v>
      </c>
      <c r="T20" s="593">
        <v>0</v>
      </c>
      <c r="U20" s="592">
        <v>0</v>
      </c>
      <c r="V20" s="593">
        <v>0</v>
      </c>
      <c r="W20" s="592">
        <v>14</v>
      </c>
      <c r="X20" s="60">
        <f t="shared" si="39"/>
        <v>1.75</v>
      </c>
      <c r="Y20" s="60">
        <f>(0.5*V20+ 0.3*W20)/10</f>
        <v>0.42000000000000004</v>
      </c>
      <c r="Z20" s="60">
        <f>(0.4*R20+0.3*W20)/10</f>
        <v>0.8600000000000001</v>
      </c>
      <c r="AA20" s="60">
        <f t="shared" ref="AA20:AA37" ca="1" si="47">IF(TODAY()-H20&gt;335,(W20+1+(LOG(O20)*4/3))*(N20/7)^0.5,(W20+((TODAY()-H20)^0.5)/(336^0.5)+(LOG(O20)*4/3))*(N20/7)^0.5)</f>
        <v>14.930513165553055</v>
      </c>
      <c r="AB20" s="60">
        <f t="shared" ref="AB20:AB37" ca="1" si="48">IF(N20=7,AA20,IF(TODAY()-H20&gt;335,(W20+1+(LOG(O20)*4/3))*((N20+0.99)/7)^0.5,(W20+((TODAY()-H20)^0.5)/(336^0.5)+(LOG(O20)*4/3))*((N20+0.99)/7)^0.5))</f>
        <v>16.115274128775081</v>
      </c>
      <c r="AC20" s="63">
        <f t="shared" ref="AC20:AC37" ca="1" si="49">IF(TODAY()-H20&gt;335,((Q20+1+(LOG(O20)*4/3))*0.65)+((R20+1+(LOG(O20)*4/3))*0.27),((Q20+(((TODAY()-H20)^0.5)/(336^0.5))+(LOG(O20)*4/3))*0.65)+((R20+(((TODAY()-H20)^0.5)/(336^0.5))+(LOG(O20)*4/3))*0.27))</f>
        <v>14.676653595750825</v>
      </c>
      <c r="AD20" s="63">
        <f t="shared" ref="AD20:AD37" ca="1" si="50">IF(TODAY()-H20&gt;335,((Q20+1+(LOG(O20)*4/3))*0.98)+((R20+1+(LOG(O20)*4/3))*0.39),((Q20+(((TODAY()-H20)^0.5)/(336^0.5))+(LOG(O20)*4/3))*0.98)+((R20+(((TODAY()-H20)^0.5)/(336^0.5))+(LOG(O20)*4/3))*0.39))</f>
        <v>21.903712419759376</v>
      </c>
      <c r="AE20" s="63">
        <f ca="1">AC20</f>
        <v>14.676653595750825</v>
      </c>
      <c r="AF20" s="63">
        <f t="shared" ref="AF20:AF37" ca="1" si="51">IF(TODAY()-H20&gt;335,((R20+1+(LOG(O20)*4/3))*0.5),((R20+(((TODAY()-H20)^0.5)/(336^0.5))+(LOG(O20)*4/3))*0.5))</f>
        <v>6.5633986933428377</v>
      </c>
      <c r="AG20" s="63">
        <f t="shared" ref="AG20:AG37" ca="1" si="52">IF(TODAY()-H20&gt;335,((R20+1+(LOG(O20)*4/3))*1),((R20+(((TODAY()-H20)^0.5)/(336^0.5))+(LOG(O20)*4/3))*1))</f>
        <v>13.126797386685675</v>
      </c>
      <c r="AH20" s="63">
        <f ca="1">AF20/2</f>
        <v>3.2816993466714188</v>
      </c>
      <c r="AI20" s="63">
        <f t="shared" ref="AI20:AI37" ca="1" si="53">IF(TODAY()-H20&gt;335,((S20+1+(LOG(O20)*4/3))*0.28),((S20+(((TODAY()-H20)^0.5)/(336^0.5))+(LOG(O20)*4/3))*0.28))</f>
        <v>0.59550326827198929</v>
      </c>
      <c r="AJ20" s="63">
        <f t="shared" ref="AJ20:AJ37" ca="1" si="54">IF(TODAY()-H20&gt;335,((R20+1+(LOG(O20)*4/3))*0.92),((R20+(((TODAY()-H20)^0.5)/(336^0.5))+(LOG(O20)*4/3))*0.92))</f>
        <v>12.076653595750821</v>
      </c>
      <c r="AK20" s="63">
        <f t="shared" ref="AK20:AK37" ca="1" si="55">IF(TODAY()-H20&gt;335,((R20+1+(LOG(O20)*4/3))*0.46),((R20+(((TODAY()-H20)^0.5)/(336^0.5))+(LOG(O20)*4/3))*0.46))</f>
        <v>6.0383267978754107</v>
      </c>
      <c r="AL20" s="63">
        <f t="shared" ref="AL20:AL37" ca="1" si="56">IF(TODAY()-H20&gt;335,((S20+1+(LOG(O20)*4/3))*0.15),((S20+(((TODAY()-H20)^0.5)/(336^0.5))+(LOG(O20)*4/3))*0.15))</f>
        <v>0.31901960800285134</v>
      </c>
      <c r="AM20" s="63">
        <f t="shared" ref="AM20:AM37" ca="1" si="57">IF(TODAY()-H20&gt;335,((T20+1+(LOG(O20)*4/3))*0.52),((T20+(((TODAY()-H20)^0.5)/(336^0.5))+(LOG(O20)*4/3))*0.52))</f>
        <v>1.1059346410765514</v>
      </c>
      <c r="AN20" s="63">
        <f t="shared" ref="AN20:AN37" ca="1" si="58">IF(TODAY()-H20&gt;335,((R20+1+(LOG(O20)*4/3))*0.47),((R20+(((TODAY()-H20)^0.5)/(336^0.5))+(LOG(O20)*4/3))*0.47))</f>
        <v>6.1695947717422674</v>
      </c>
      <c r="AO20" s="63">
        <f t="shared" ref="AO20:AO37" ca="1" si="59">IF(TODAY()-H20&gt;335,((R20+1+(LOG(O20)*4/3))*0.28),((R20+(((TODAY()-H20)^0.5)/(336^0.5))+(LOG(O20)*4/3))*0.28))</f>
        <v>3.6755032682719895</v>
      </c>
      <c r="AP20" s="63">
        <f t="shared" ref="AP20:AP37" ca="1" si="60">IF(TODAY()-H20&gt;335,((S20+1+(LOG(O20)*4/3))*0.44),((S20+(((TODAY()-H20)^0.5)/(336^0.5))+(LOG(O20)*4/3))*0.44))</f>
        <v>0.93579085014169738</v>
      </c>
      <c r="AQ20" s="63">
        <f t="shared" ref="AQ20:AQ37" ca="1" si="61">IF(TODAY()-H20&gt;335,((T20+1+(LOG(O20)*4/3))*0.72)+((U20+1+(LOG(O20)*4/3))*0.21),((T20+(((TODAY()-H20)^0.5)/(336^0.5))+(LOG(O20)*4/3))*0.72)+((U20+(((TODAY()-H20)^0.5)/(336^0.5))+(LOG(O20)*4/3))*0.21))</f>
        <v>1.9779215696176784</v>
      </c>
      <c r="AR20" s="63">
        <f t="shared" ref="AR20:AR37" ca="1" si="62">IF(TODAY()-H20&gt;335,((U20+1+(LOG(O20)*4/3))*0.1),((U20+(((TODAY()-H20)^0.5)/(336^0.5))+(LOG(O20)*4/3))*0.1))</f>
        <v>0.2126797386685676</v>
      </c>
      <c r="AS20" s="63">
        <f t="shared" ref="AS20:AS37" ca="1" si="63">IF(TODAY()-H20&gt;335,((R20+1+(LOG(O20)*4/3))*0.28),((R20+(((TODAY()-H20)^0.5)/(336^0.5))+(LOG(O20)*4/3))*0.28))</f>
        <v>3.6755032682719895</v>
      </c>
      <c r="AT20" s="63">
        <f t="shared" ref="AT20:AT37" ca="1" si="64">IF(TODAY()-H20&gt;335,((R20+1+(LOG(O20)*4/3))*0.63),((R20+(((TODAY()-H20)^0.5)/(336^0.5))+(LOG(O20)*4/3))*0.63))</f>
        <v>8.2698823536119761</v>
      </c>
      <c r="AU20" s="63">
        <f t="shared" ref="AU20:AU37" ca="1" si="65">IF(TODAY()-H20&gt;335,((R20+1+(LOG(O20)*4/3))*0.14),((R20+(((TODAY()-H20)^0.5)/(336^0.5))+(LOG(O20)*4/3))*0.14))</f>
        <v>1.8377516341359947</v>
      </c>
      <c r="AV20" s="63">
        <f t="shared" ref="AV20:AV37" ca="1" si="66">IF(TODAY()-H20&gt;335,((S20+1+(LOG(O20)*4/3))*0.95),((S20+(((TODAY()-H20)^0.5)/(336^0.5))+(LOG(O20)*4/3))*0.95))</f>
        <v>2.0204575173513919</v>
      </c>
      <c r="AW20" s="63">
        <f t="shared" ref="AW20:AW37" ca="1" si="67">IF(TODAY()-H20&gt;335,((U20+1+(LOG(O20)*4/3))*0.15),((U20+(((TODAY()-H20)^0.5)/(336^0.5))+(LOG(O20)*4/3))*0.15))</f>
        <v>0.31901960800285134</v>
      </c>
      <c r="AX20" s="63">
        <f t="shared" ref="AX20:AX37" ca="1" si="68">IF(TODAY()-H20&gt;335,((U20+1+(LOG(O20)*4/3))*0.24),((U20+(((TODAY()-H20)^0.5)/(336^0.5))+(LOG(O20)*4/3))*0.24))</f>
        <v>0.51043137280456219</v>
      </c>
      <c r="AY20" s="63">
        <f t="shared" ref="AY20:AY37" ca="1" si="69">IF(TODAY()-H20&gt;335,((U20+1+(LOG(O20)*4/3))*0.08),((U20+(((TODAY()-H20)^0.5)/(336^0.5))+(LOG(O20)*4/3))*0.08))</f>
        <v>0.17014379093485407</v>
      </c>
      <c r="AZ20" s="63">
        <f t="shared" ref="AZ20:AZ37" ca="1" si="70">IF(TODAY()-H20&gt;335,((R20+1+(LOG(O20)*4/3))*0.21),((R20+(((TODAY()-H20)^0.5)/(336^0.5))+(LOG(O20)*4/3))*0.21))</f>
        <v>2.7566274512039919</v>
      </c>
      <c r="BA20" s="63">
        <f t="shared" ref="BA20:BA37" ca="1" si="71">IF(TODAY()-H20&gt;335,((R20+1+(LOG(O20)*4/3))*0.34),((R20+(((TODAY()-H20)^0.5)/(336^0.5))+(LOG(O20)*4/3))*0.34))</f>
        <v>4.4631111114731299</v>
      </c>
      <c r="BB20" s="63">
        <f t="shared" ref="BB20:BB37" ca="1" si="72">IF(TODAY()-H20&gt;335,((S20+1+(LOG(O20)*4/3))*0.9),((S20+(((TODAY()-H20)^0.5)/(336^0.5))+(LOG(O20)*4/3))*0.9))</f>
        <v>1.9141176480171083</v>
      </c>
      <c r="BC20" s="63">
        <f t="shared" ref="BC20:BC37" ca="1" si="73">IF(TODAY()-H20&gt;335,((T20+1+(LOG(O20)*4/3))*0.58)+((U20+1+(LOG(O20)*4/3))*0.27),((T20+(((TODAY()-H20)^0.5)/(336^0.5))+(LOG(O20)*4/3))*0.58)+((U20+(((TODAY()-H20)^0.5)/(336^0.5))+(LOG(O20)*4/3))*0.27))</f>
        <v>1.8077777786828244</v>
      </c>
      <c r="BD20" s="63">
        <f t="shared" ref="BD20:BD37" ca="1" si="74">IF(TODAY()-H20&gt;335,((U20+1+(LOG(O20)*4/3))*0.24),((U20+(((TODAY()-H20)^0.5)/(336^0.5))+(LOG(O20)*4/3))*0.24))</f>
        <v>0.51043137280456219</v>
      </c>
      <c r="BE20" s="63">
        <f t="shared" ref="BE20:BE37" ca="1" si="75">IF(TODAY()-H20&gt;335,((R20+1+(LOG(O20)*4/3))*0.18),((R20+(((TODAY()-H20)^0.5)/(336^0.5))+(LOG(O20)*4/3))*0.18))</f>
        <v>2.3628235296034217</v>
      </c>
      <c r="BF20" s="63">
        <f t="shared" ref="BF20:BF37" ca="1" si="76">IF(TODAY()-H20&gt;335,((R20+1+(LOG(O20)*4/3))*0.1),((R20+(((TODAY()-H20)^0.5)/(336^0.5))+(LOG(O20)*4/3))*0.1))</f>
        <v>1.3126797386685676</v>
      </c>
      <c r="BG20" s="63">
        <f ca="1">AP20</f>
        <v>0.93579085014169738</v>
      </c>
      <c r="BH20" s="63">
        <f t="shared" ref="BH20:BH37" ca="1" si="77">IF(TODAY()-H20&gt;335,((T20+1+(LOG(O20)*4/3))*1)+((U20+1+(LOG(O20)*4/3))*0.27),((T20+(((TODAY()-H20)^0.5)/(336^0.5))+(LOG(O20)*4/3))*1)+((U20+(((TODAY()-H20)^0.5)/(336^0.5))+(LOG(O20)*4/3))*0.27))</f>
        <v>2.7010326810908083</v>
      </c>
      <c r="BI20" s="63">
        <f t="shared" ref="BI20:BI37" ca="1" si="78">IF(TODAY()-H20&gt;335,((U20+1+(LOG(O20)*4/3))*0.16),((U20+(((TODAY()-H20)^0.5)/(336^0.5))+(LOG(O20)*4/3))*0.16))</f>
        <v>0.34028758186970814</v>
      </c>
      <c r="BJ20" s="63">
        <f t="shared" ref="BJ20:BJ37" ca="1" si="79">IF(TODAY()-H20&gt;335,((S20+1+(LOG(O20)*4/3))*0.45),((S20+(((TODAY()-H20)^0.5)/(336^0.5))+(LOG(O20)*4/3))*0.45))</f>
        <v>0.95705882400855413</v>
      </c>
      <c r="BK20" s="63">
        <f t="shared" ref="BK20:BK37" ca="1" si="80">IF(D20="TEC",IF(TODAY()-H20&gt;335,((T20+1+(LOG(O20)*4/3))*0.15)+((U20+1+(LOG(O20)*4/3))*0.29)+((V20+1+(LOG(O20)*4/3))*0.13),((T20+(((TODAY()-H20)^0.5)/(336^0.5))+(LOG(O20)*4/3))*0.15)+((U20+(((TODAY()-H20)^0.5)/(336^0.5))+(LOG(O20)*4/3))*0.29)+((V20+(((TODAY()-H20)^0.5)/(336^0.5))+(LOG(O20)*4/3))*0.13)),IF(TODAY()-H20&gt;335,((T20+1+(LOG(O20)*4/3))*0.15)+((U20+1+(LOG(O20)*4/3))*0.21)+((V20+1+(LOG(O20)*4/3))*0.13),((T20+(((TODAY()-H20)^0.5)/(336^0.5))+(LOG(O20)*4/3))*0.15)+((U20+(((TODAY()-H20)^0.5)/(336^0.5))+(LOG(O20)*4/3))*0.21)+((V20+(((TODAY()-H20)^0.5)/(336^0.5))+(LOG(O20)*4/3))*0.13)))</f>
        <v>1.042130719475981</v>
      </c>
      <c r="BL20" s="63">
        <f t="shared" ref="BL20:BL37" ca="1" si="81">IF(D20="TEC",IF(TODAY()-H20&gt;335,((U20+1+(LOG(O20)*4/3))*0.8)+((V20+1+(LOG(O20)*4/3))*0.62),((U20+(((TODAY()-H20)^0.5)/(336^0.5))+(LOG(O20)*4/3))*0.8)+((V20+(((TODAY()-H20)^0.5)/(336^0.5))+(LOG(O20)*4/3))*0.62)),IF(TODAY()-H20&gt;335,((U20+1+(LOG(O20)*4/3))*0.51)+((V20+1+(LOG(O20)*4/3))*0.62),((U20+(((TODAY()-H20)^0.5)/(336^0.5))+(LOG(O20)*4/3))*0.51)+((V20+(((TODAY()-H20)^0.5)/(336^0.5))+(LOG(O20)*4/3))*0.62)))</f>
        <v>2.4032810469548136</v>
      </c>
      <c r="BM20" s="63">
        <f ca="1">BK20</f>
        <v>1.042130719475981</v>
      </c>
      <c r="BN20" s="63">
        <f t="shared" ref="BN20:BN37" ca="1" si="82">IF(TODAY()-H20&gt;335,((V20+1+(LOG(O20)*4/3))*0.24)+((T20+1+(LOG(O20)*4/3))*0.18)+((U20+1+(LOG(O20)*4/3))*0.13),((V20+(((TODAY()-H20)^0.5)/(336^0.5))+(LOG(O20)*4/3))*0.24)+((T20+(((TODAY()-H20)^0.5)/(336^0.5))+(LOG(O20)*4/3))*0.18)+((V20+(((TODAY()-H20)^0.5)/(336^0.5))+(LOG(O20)*4/3))*0.24))</f>
        <v>1.1697385626771217</v>
      </c>
      <c r="BO20" s="63">
        <f t="shared" ref="BO20:BO37" ca="1" si="83">IF(TODAY()-H20&gt;335,((V20+1+(LOG(O20)*4/3))*1)+((U20+1+(LOG(O20)*4/3))*0.34),((V20+(((TODAY()-H20)^0.5)/(336^0.5))+(LOG(O20)*4/3))*1)+((U20+(((TODAY()-H20)^0.5)/(336^0.5))+(LOG(O20)*4/3))*0.34))</f>
        <v>2.8499084981588054</v>
      </c>
      <c r="BP20" s="63">
        <f ca="1">BN20</f>
        <v>1.1697385626771217</v>
      </c>
    </row>
    <row r="21" spans="1:68" x14ac:dyDescent="0.25">
      <c r="L21" s="582"/>
      <c r="M21" s="582"/>
      <c r="N21" s="582">
        <v>6</v>
      </c>
      <c r="O21" s="582">
        <v>7</v>
      </c>
      <c r="P21" s="582"/>
      <c r="Q21" s="594">
        <v>0</v>
      </c>
      <c r="R21" s="595">
        <v>15</v>
      </c>
      <c r="S21" s="596">
        <v>3</v>
      </c>
      <c r="T21" s="595">
        <v>11</v>
      </c>
      <c r="U21" s="596">
        <v>11</v>
      </c>
      <c r="V21" s="595">
        <v>3</v>
      </c>
      <c r="W21" s="596">
        <v>10</v>
      </c>
      <c r="X21" s="60">
        <f t="shared" si="39"/>
        <v>5</v>
      </c>
      <c r="Y21" s="60">
        <f>(0.5*V21+ 0.3*W21)/10</f>
        <v>0.45</v>
      </c>
      <c r="Z21" s="60">
        <f>(0.4*R21+0.3*W21)/10</f>
        <v>0.9</v>
      </c>
      <c r="AA21" s="60">
        <f t="shared" ca="1" si="47"/>
        <v>11.227232766462848</v>
      </c>
      <c r="AB21" s="60">
        <f t="shared" ca="1" si="48"/>
        <v>12.118132292769898</v>
      </c>
      <c r="AC21" s="63">
        <f t="shared" ca="1" si="49"/>
        <v>6.006653595750822</v>
      </c>
      <c r="AD21" s="63">
        <f t="shared" ca="1" si="50"/>
        <v>8.7637124197593756</v>
      </c>
      <c r="AE21" s="63">
        <f ca="1">AC21</f>
        <v>6.006653595750822</v>
      </c>
      <c r="AF21" s="63">
        <f t="shared" ca="1" si="51"/>
        <v>8.5633986933428385</v>
      </c>
      <c r="AG21" s="63">
        <f t="shared" ca="1" si="52"/>
        <v>17.126797386685677</v>
      </c>
      <c r="AH21" s="63">
        <f ca="1">AF21/2</f>
        <v>4.2816993466714193</v>
      </c>
      <c r="AI21" s="63">
        <f t="shared" ca="1" si="53"/>
        <v>1.4355032682719893</v>
      </c>
      <c r="AJ21" s="63">
        <f t="shared" ca="1" si="54"/>
        <v>15.756653595750823</v>
      </c>
      <c r="AK21" s="63">
        <f t="shared" ca="1" si="55"/>
        <v>7.8783267978754115</v>
      </c>
      <c r="AL21" s="63">
        <f t="shared" ca="1" si="56"/>
        <v>0.7690196080028513</v>
      </c>
      <c r="AM21" s="63">
        <f t="shared" ca="1" si="57"/>
        <v>6.8259346410765511</v>
      </c>
      <c r="AN21" s="63">
        <f t="shared" ca="1" si="58"/>
        <v>8.0495947717422673</v>
      </c>
      <c r="AO21" s="63">
        <f t="shared" ca="1" si="59"/>
        <v>4.7955032682719905</v>
      </c>
      <c r="AP21" s="63">
        <f t="shared" ca="1" si="60"/>
        <v>2.2557908501416972</v>
      </c>
      <c r="AQ21" s="63">
        <f t="shared" ca="1" si="61"/>
        <v>12.207921569617678</v>
      </c>
      <c r="AR21" s="63">
        <f t="shared" ca="1" si="62"/>
        <v>1.3126797386685676</v>
      </c>
      <c r="AS21" s="63">
        <f t="shared" ca="1" si="63"/>
        <v>4.7955032682719905</v>
      </c>
      <c r="AT21" s="63">
        <f t="shared" ca="1" si="64"/>
        <v>10.789882353611977</v>
      </c>
      <c r="AU21" s="63">
        <f t="shared" ca="1" si="65"/>
        <v>2.3977516341359952</v>
      </c>
      <c r="AV21" s="63">
        <f t="shared" ca="1" si="66"/>
        <v>4.8704575173513911</v>
      </c>
      <c r="AW21" s="63">
        <f t="shared" ca="1" si="67"/>
        <v>1.9690196080028513</v>
      </c>
      <c r="AX21" s="63">
        <f t="shared" ca="1" si="68"/>
        <v>3.1504313728045621</v>
      </c>
      <c r="AY21" s="63">
        <f t="shared" ca="1" si="69"/>
        <v>1.0501437909348541</v>
      </c>
      <c r="AZ21" s="63">
        <f t="shared" ca="1" si="70"/>
        <v>3.5966274512039922</v>
      </c>
      <c r="BA21" s="63">
        <f t="shared" ca="1" si="71"/>
        <v>5.8231111114731302</v>
      </c>
      <c r="BB21" s="63">
        <f t="shared" ca="1" si="72"/>
        <v>4.6141176480171078</v>
      </c>
      <c r="BC21" s="63">
        <f t="shared" ca="1" si="73"/>
        <v>11.157777778682824</v>
      </c>
      <c r="BD21" s="63">
        <f t="shared" ca="1" si="74"/>
        <v>3.1504313728045621</v>
      </c>
      <c r="BE21" s="63">
        <f t="shared" ca="1" si="75"/>
        <v>3.0828235296034219</v>
      </c>
      <c r="BF21" s="63">
        <f t="shared" ca="1" si="76"/>
        <v>1.7126797386685677</v>
      </c>
      <c r="BG21" s="63">
        <f ca="1">AP21</f>
        <v>2.2557908501416972</v>
      </c>
      <c r="BH21" s="63">
        <f t="shared" ca="1" si="77"/>
        <v>16.671032681090807</v>
      </c>
      <c r="BI21" s="63">
        <f t="shared" ca="1" si="78"/>
        <v>2.1002875818697082</v>
      </c>
      <c r="BJ21" s="63">
        <f t="shared" ca="1" si="79"/>
        <v>2.3070588240085539</v>
      </c>
      <c r="BK21" s="63">
        <f t="shared" ca="1" si="80"/>
        <v>5.3921307194759809</v>
      </c>
      <c r="BL21" s="63">
        <f t="shared" ca="1" si="81"/>
        <v>9.873281046954812</v>
      </c>
      <c r="BM21" s="63">
        <f ca="1">BK21</f>
        <v>5.3921307194759809</v>
      </c>
      <c r="BN21" s="63">
        <f t="shared" ca="1" si="82"/>
        <v>5.2997385626771214</v>
      </c>
      <c r="BO21" s="63">
        <f t="shared" ca="1" si="83"/>
        <v>9.5899084981588061</v>
      </c>
      <c r="BP21" s="63">
        <f ca="1">BN21</f>
        <v>5.2997385626771214</v>
      </c>
    </row>
    <row r="22" spans="1:68" x14ac:dyDescent="0.25">
      <c r="L22" s="582"/>
      <c r="M22" s="582"/>
      <c r="N22" s="582">
        <v>6</v>
      </c>
      <c r="O22" s="582">
        <v>7</v>
      </c>
      <c r="P22" s="582"/>
      <c r="Q22" s="594">
        <v>0</v>
      </c>
      <c r="R22" s="595">
        <v>15</v>
      </c>
      <c r="S22" s="596">
        <v>3</v>
      </c>
      <c r="T22" s="595">
        <v>11</v>
      </c>
      <c r="U22" s="596">
        <v>11</v>
      </c>
      <c r="V22" s="595">
        <v>3</v>
      </c>
      <c r="W22" s="596">
        <v>10</v>
      </c>
      <c r="X22" s="60">
        <f t="shared" si="39"/>
        <v>5</v>
      </c>
      <c r="Y22" s="60">
        <f t="shared" ref="Y22:Y37" si="84">(0.5*V22+ 0.3*W22)/10</f>
        <v>0.45</v>
      </c>
      <c r="Z22" s="60">
        <f t="shared" ref="Z22:Z37" si="85">(0.4*R22+0.3*W22)/10</f>
        <v>0.9</v>
      </c>
      <c r="AA22" s="60">
        <f t="shared" ca="1" si="47"/>
        <v>11.227232766462848</v>
      </c>
      <c r="AB22" s="60">
        <f t="shared" ca="1" si="48"/>
        <v>12.118132292769898</v>
      </c>
      <c r="AC22" s="63">
        <f t="shared" ca="1" si="49"/>
        <v>6.006653595750822</v>
      </c>
      <c r="AD22" s="63">
        <f t="shared" ca="1" si="50"/>
        <v>8.7637124197593756</v>
      </c>
      <c r="AE22" s="63">
        <f t="shared" ref="AE22:AE37" ca="1" si="86">AC22</f>
        <v>6.006653595750822</v>
      </c>
      <c r="AF22" s="63">
        <f t="shared" ca="1" si="51"/>
        <v>8.5633986933428385</v>
      </c>
      <c r="AG22" s="63">
        <f t="shared" ca="1" si="52"/>
        <v>17.126797386685677</v>
      </c>
      <c r="AH22" s="63">
        <f t="shared" ref="AH22:AH37" ca="1" si="87">AF22/2</f>
        <v>4.2816993466714193</v>
      </c>
      <c r="AI22" s="63">
        <f t="shared" ca="1" si="53"/>
        <v>1.4355032682719893</v>
      </c>
      <c r="AJ22" s="63">
        <f t="shared" ca="1" si="54"/>
        <v>15.756653595750823</v>
      </c>
      <c r="AK22" s="63">
        <f t="shared" ca="1" si="55"/>
        <v>7.8783267978754115</v>
      </c>
      <c r="AL22" s="63">
        <f t="shared" ca="1" si="56"/>
        <v>0.7690196080028513</v>
      </c>
      <c r="AM22" s="63">
        <f t="shared" ca="1" si="57"/>
        <v>6.8259346410765511</v>
      </c>
      <c r="AN22" s="63">
        <f t="shared" ca="1" si="58"/>
        <v>8.0495947717422673</v>
      </c>
      <c r="AO22" s="63">
        <f t="shared" ca="1" si="59"/>
        <v>4.7955032682719905</v>
      </c>
      <c r="AP22" s="63">
        <f t="shared" ca="1" si="60"/>
        <v>2.2557908501416972</v>
      </c>
      <c r="AQ22" s="63">
        <f t="shared" ca="1" si="61"/>
        <v>12.207921569617678</v>
      </c>
      <c r="AR22" s="63">
        <f t="shared" ca="1" si="62"/>
        <v>1.3126797386685676</v>
      </c>
      <c r="AS22" s="63">
        <f t="shared" ca="1" si="63"/>
        <v>4.7955032682719905</v>
      </c>
      <c r="AT22" s="63">
        <f t="shared" ca="1" si="64"/>
        <v>10.789882353611977</v>
      </c>
      <c r="AU22" s="63">
        <f t="shared" ca="1" si="65"/>
        <v>2.3977516341359952</v>
      </c>
      <c r="AV22" s="63">
        <f t="shared" ca="1" si="66"/>
        <v>4.8704575173513911</v>
      </c>
      <c r="AW22" s="63">
        <f t="shared" ca="1" si="67"/>
        <v>1.9690196080028513</v>
      </c>
      <c r="AX22" s="63">
        <f t="shared" ca="1" si="68"/>
        <v>3.1504313728045621</v>
      </c>
      <c r="AY22" s="63">
        <f t="shared" ca="1" si="69"/>
        <v>1.0501437909348541</v>
      </c>
      <c r="AZ22" s="63">
        <f t="shared" ca="1" si="70"/>
        <v>3.5966274512039922</v>
      </c>
      <c r="BA22" s="63">
        <f t="shared" ca="1" si="71"/>
        <v>5.8231111114731302</v>
      </c>
      <c r="BB22" s="63">
        <f t="shared" ca="1" si="72"/>
        <v>4.6141176480171078</v>
      </c>
      <c r="BC22" s="63">
        <f t="shared" ca="1" si="73"/>
        <v>11.157777778682824</v>
      </c>
      <c r="BD22" s="63">
        <f t="shared" ca="1" si="74"/>
        <v>3.1504313728045621</v>
      </c>
      <c r="BE22" s="63">
        <f t="shared" ca="1" si="75"/>
        <v>3.0828235296034219</v>
      </c>
      <c r="BF22" s="63">
        <f t="shared" ca="1" si="76"/>
        <v>1.7126797386685677</v>
      </c>
      <c r="BG22" s="63">
        <f t="shared" ref="BG22:BG37" ca="1" si="88">AP22</f>
        <v>2.2557908501416972</v>
      </c>
      <c r="BH22" s="63">
        <f t="shared" ca="1" si="77"/>
        <v>16.671032681090807</v>
      </c>
      <c r="BI22" s="63">
        <f t="shared" ca="1" si="78"/>
        <v>2.1002875818697082</v>
      </c>
      <c r="BJ22" s="63">
        <f t="shared" ca="1" si="79"/>
        <v>2.3070588240085539</v>
      </c>
      <c r="BK22" s="63">
        <f t="shared" ca="1" si="80"/>
        <v>5.3921307194759809</v>
      </c>
      <c r="BL22" s="63">
        <f t="shared" ca="1" si="81"/>
        <v>9.873281046954812</v>
      </c>
      <c r="BM22" s="63">
        <f t="shared" ref="BM22:BM37" ca="1" si="89">BK22</f>
        <v>5.3921307194759809</v>
      </c>
      <c r="BN22" s="63">
        <f t="shared" ca="1" si="82"/>
        <v>5.2997385626771214</v>
      </c>
      <c r="BO22" s="63">
        <f t="shared" ca="1" si="83"/>
        <v>9.5899084981588061</v>
      </c>
      <c r="BP22" s="63">
        <f t="shared" ref="BP22:BP37" ca="1" si="90">BN22</f>
        <v>5.2997385626771214</v>
      </c>
    </row>
    <row r="23" spans="1:68" x14ac:dyDescent="0.25">
      <c r="L23" s="582"/>
      <c r="M23" s="582"/>
      <c r="N23" s="582">
        <v>6</v>
      </c>
      <c r="O23" s="582">
        <v>7</v>
      </c>
      <c r="P23" s="582"/>
      <c r="Q23" s="594">
        <v>0</v>
      </c>
      <c r="R23" s="595">
        <v>15</v>
      </c>
      <c r="S23" s="596">
        <v>3</v>
      </c>
      <c r="T23" s="595">
        <v>11</v>
      </c>
      <c r="U23" s="596">
        <v>11</v>
      </c>
      <c r="V23" s="595">
        <v>3</v>
      </c>
      <c r="W23" s="596">
        <v>10</v>
      </c>
      <c r="X23" s="60">
        <f t="shared" si="39"/>
        <v>5</v>
      </c>
      <c r="Y23" s="60">
        <f t="shared" si="84"/>
        <v>0.45</v>
      </c>
      <c r="Z23" s="60">
        <f t="shared" si="85"/>
        <v>0.9</v>
      </c>
      <c r="AA23" s="60">
        <f t="shared" ca="1" si="47"/>
        <v>11.227232766462848</v>
      </c>
      <c r="AB23" s="60">
        <f t="shared" ca="1" si="48"/>
        <v>12.118132292769898</v>
      </c>
      <c r="AC23" s="63">
        <f t="shared" ca="1" si="49"/>
        <v>6.006653595750822</v>
      </c>
      <c r="AD23" s="63">
        <f t="shared" ca="1" si="50"/>
        <v>8.7637124197593756</v>
      </c>
      <c r="AE23" s="63">
        <f t="shared" ca="1" si="86"/>
        <v>6.006653595750822</v>
      </c>
      <c r="AF23" s="63">
        <f t="shared" ca="1" si="51"/>
        <v>8.5633986933428385</v>
      </c>
      <c r="AG23" s="63">
        <f t="shared" ca="1" si="52"/>
        <v>17.126797386685677</v>
      </c>
      <c r="AH23" s="63">
        <f t="shared" ca="1" si="87"/>
        <v>4.2816993466714193</v>
      </c>
      <c r="AI23" s="63">
        <f t="shared" ca="1" si="53"/>
        <v>1.4355032682719893</v>
      </c>
      <c r="AJ23" s="63">
        <f t="shared" ca="1" si="54"/>
        <v>15.756653595750823</v>
      </c>
      <c r="AK23" s="63">
        <f t="shared" ca="1" si="55"/>
        <v>7.8783267978754115</v>
      </c>
      <c r="AL23" s="63">
        <f t="shared" ca="1" si="56"/>
        <v>0.7690196080028513</v>
      </c>
      <c r="AM23" s="63">
        <f t="shared" ca="1" si="57"/>
        <v>6.8259346410765511</v>
      </c>
      <c r="AN23" s="63">
        <f t="shared" ca="1" si="58"/>
        <v>8.0495947717422673</v>
      </c>
      <c r="AO23" s="63">
        <f t="shared" ca="1" si="59"/>
        <v>4.7955032682719905</v>
      </c>
      <c r="AP23" s="63">
        <f t="shared" ca="1" si="60"/>
        <v>2.2557908501416972</v>
      </c>
      <c r="AQ23" s="63">
        <f t="shared" ca="1" si="61"/>
        <v>12.207921569617678</v>
      </c>
      <c r="AR23" s="63">
        <f t="shared" ca="1" si="62"/>
        <v>1.3126797386685676</v>
      </c>
      <c r="AS23" s="63">
        <f t="shared" ca="1" si="63"/>
        <v>4.7955032682719905</v>
      </c>
      <c r="AT23" s="63">
        <f t="shared" ca="1" si="64"/>
        <v>10.789882353611977</v>
      </c>
      <c r="AU23" s="63">
        <f t="shared" ca="1" si="65"/>
        <v>2.3977516341359952</v>
      </c>
      <c r="AV23" s="63">
        <f t="shared" ca="1" si="66"/>
        <v>4.8704575173513911</v>
      </c>
      <c r="AW23" s="63">
        <f t="shared" ca="1" si="67"/>
        <v>1.9690196080028513</v>
      </c>
      <c r="AX23" s="63">
        <f t="shared" ca="1" si="68"/>
        <v>3.1504313728045621</v>
      </c>
      <c r="AY23" s="63">
        <f t="shared" ca="1" si="69"/>
        <v>1.0501437909348541</v>
      </c>
      <c r="AZ23" s="63">
        <f t="shared" ca="1" si="70"/>
        <v>3.5966274512039922</v>
      </c>
      <c r="BA23" s="63">
        <f t="shared" ca="1" si="71"/>
        <v>5.8231111114731302</v>
      </c>
      <c r="BB23" s="63">
        <f t="shared" ca="1" si="72"/>
        <v>4.6141176480171078</v>
      </c>
      <c r="BC23" s="63">
        <f t="shared" ca="1" si="73"/>
        <v>11.157777778682824</v>
      </c>
      <c r="BD23" s="63">
        <f t="shared" ca="1" si="74"/>
        <v>3.1504313728045621</v>
      </c>
      <c r="BE23" s="63">
        <f t="shared" ca="1" si="75"/>
        <v>3.0828235296034219</v>
      </c>
      <c r="BF23" s="63">
        <f t="shared" ca="1" si="76"/>
        <v>1.7126797386685677</v>
      </c>
      <c r="BG23" s="63">
        <f t="shared" ca="1" si="88"/>
        <v>2.2557908501416972</v>
      </c>
      <c r="BH23" s="63">
        <f t="shared" ca="1" si="77"/>
        <v>16.671032681090807</v>
      </c>
      <c r="BI23" s="63">
        <f t="shared" ca="1" si="78"/>
        <v>2.1002875818697082</v>
      </c>
      <c r="BJ23" s="63">
        <f t="shared" ca="1" si="79"/>
        <v>2.3070588240085539</v>
      </c>
      <c r="BK23" s="63">
        <f t="shared" ca="1" si="80"/>
        <v>5.3921307194759809</v>
      </c>
      <c r="BL23" s="63">
        <f t="shared" ca="1" si="81"/>
        <v>9.873281046954812</v>
      </c>
      <c r="BM23" s="63">
        <f t="shared" ca="1" si="89"/>
        <v>5.3921307194759809</v>
      </c>
      <c r="BN23" s="63">
        <f t="shared" ca="1" si="82"/>
        <v>5.2997385626771214</v>
      </c>
      <c r="BO23" s="63">
        <f t="shared" ca="1" si="83"/>
        <v>9.5899084981588061</v>
      </c>
      <c r="BP23" s="63">
        <f t="shared" ca="1" si="90"/>
        <v>5.2997385626771214</v>
      </c>
    </row>
    <row r="24" spans="1:68" x14ac:dyDescent="0.25">
      <c r="L24" s="582"/>
      <c r="M24" s="582"/>
      <c r="N24" s="582">
        <v>6</v>
      </c>
      <c r="O24" s="582">
        <v>7</v>
      </c>
      <c r="P24" s="582"/>
      <c r="Q24" s="594">
        <v>0</v>
      </c>
      <c r="R24" s="595">
        <v>15</v>
      </c>
      <c r="S24" s="596">
        <v>3</v>
      </c>
      <c r="T24" s="595">
        <v>11</v>
      </c>
      <c r="U24" s="596">
        <v>11</v>
      </c>
      <c r="V24" s="595">
        <v>3</v>
      </c>
      <c r="W24" s="596">
        <v>10</v>
      </c>
      <c r="X24" s="60">
        <f t="shared" si="39"/>
        <v>5</v>
      </c>
      <c r="Y24" s="60">
        <f t="shared" si="84"/>
        <v>0.45</v>
      </c>
      <c r="Z24" s="60">
        <f t="shared" si="85"/>
        <v>0.9</v>
      </c>
      <c r="AA24" s="60">
        <f t="shared" ca="1" si="47"/>
        <v>11.227232766462848</v>
      </c>
      <c r="AB24" s="60">
        <f t="shared" ca="1" si="48"/>
        <v>12.118132292769898</v>
      </c>
      <c r="AC24" s="63">
        <f t="shared" ca="1" si="49"/>
        <v>6.006653595750822</v>
      </c>
      <c r="AD24" s="63">
        <f t="shared" ca="1" si="50"/>
        <v>8.7637124197593756</v>
      </c>
      <c r="AE24" s="63">
        <f t="shared" ca="1" si="86"/>
        <v>6.006653595750822</v>
      </c>
      <c r="AF24" s="63">
        <f t="shared" ca="1" si="51"/>
        <v>8.5633986933428385</v>
      </c>
      <c r="AG24" s="63">
        <f t="shared" ca="1" si="52"/>
        <v>17.126797386685677</v>
      </c>
      <c r="AH24" s="63">
        <f t="shared" ca="1" si="87"/>
        <v>4.2816993466714193</v>
      </c>
      <c r="AI24" s="63">
        <f t="shared" ca="1" si="53"/>
        <v>1.4355032682719893</v>
      </c>
      <c r="AJ24" s="63">
        <f t="shared" ca="1" si="54"/>
        <v>15.756653595750823</v>
      </c>
      <c r="AK24" s="63">
        <f t="shared" ca="1" si="55"/>
        <v>7.8783267978754115</v>
      </c>
      <c r="AL24" s="63">
        <f t="shared" ca="1" si="56"/>
        <v>0.7690196080028513</v>
      </c>
      <c r="AM24" s="63">
        <f t="shared" ca="1" si="57"/>
        <v>6.8259346410765511</v>
      </c>
      <c r="AN24" s="63">
        <f t="shared" ca="1" si="58"/>
        <v>8.0495947717422673</v>
      </c>
      <c r="AO24" s="63">
        <f t="shared" ca="1" si="59"/>
        <v>4.7955032682719905</v>
      </c>
      <c r="AP24" s="63">
        <f t="shared" ca="1" si="60"/>
        <v>2.2557908501416972</v>
      </c>
      <c r="AQ24" s="63">
        <f t="shared" ca="1" si="61"/>
        <v>12.207921569617678</v>
      </c>
      <c r="AR24" s="63">
        <f t="shared" ca="1" si="62"/>
        <v>1.3126797386685676</v>
      </c>
      <c r="AS24" s="63">
        <f t="shared" ca="1" si="63"/>
        <v>4.7955032682719905</v>
      </c>
      <c r="AT24" s="63">
        <f t="shared" ca="1" si="64"/>
        <v>10.789882353611977</v>
      </c>
      <c r="AU24" s="63">
        <f t="shared" ca="1" si="65"/>
        <v>2.3977516341359952</v>
      </c>
      <c r="AV24" s="63">
        <f t="shared" ca="1" si="66"/>
        <v>4.8704575173513911</v>
      </c>
      <c r="AW24" s="63">
        <f t="shared" ca="1" si="67"/>
        <v>1.9690196080028513</v>
      </c>
      <c r="AX24" s="63">
        <f t="shared" ca="1" si="68"/>
        <v>3.1504313728045621</v>
      </c>
      <c r="AY24" s="63">
        <f t="shared" ca="1" si="69"/>
        <v>1.0501437909348541</v>
      </c>
      <c r="AZ24" s="63">
        <f t="shared" ca="1" si="70"/>
        <v>3.5966274512039922</v>
      </c>
      <c r="BA24" s="63">
        <f t="shared" ca="1" si="71"/>
        <v>5.8231111114731302</v>
      </c>
      <c r="BB24" s="63">
        <f t="shared" ca="1" si="72"/>
        <v>4.6141176480171078</v>
      </c>
      <c r="BC24" s="63">
        <f t="shared" ca="1" si="73"/>
        <v>11.157777778682824</v>
      </c>
      <c r="BD24" s="63">
        <f t="shared" ca="1" si="74"/>
        <v>3.1504313728045621</v>
      </c>
      <c r="BE24" s="63">
        <f t="shared" ca="1" si="75"/>
        <v>3.0828235296034219</v>
      </c>
      <c r="BF24" s="63">
        <f t="shared" ca="1" si="76"/>
        <v>1.7126797386685677</v>
      </c>
      <c r="BG24" s="63">
        <f t="shared" ca="1" si="88"/>
        <v>2.2557908501416972</v>
      </c>
      <c r="BH24" s="63">
        <f t="shared" ca="1" si="77"/>
        <v>16.671032681090807</v>
      </c>
      <c r="BI24" s="63">
        <f t="shared" ca="1" si="78"/>
        <v>2.1002875818697082</v>
      </c>
      <c r="BJ24" s="63">
        <f t="shared" ca="1" si="79"/>
        <v>2.3070588240085539</v>
      </c>
      <c r="BK24" s="63">
        <f t="shared" ca="1" si="80"/>
        <v>5.3921307194759809</v>
      </c>
      <c r="BL24" s="63">
        <f t="shared" ca="1" si="81"/>
        <v>9.873281046954812</v>
      </c>
      <c r="BM24" s="63">
        <f t="shared" ca="1" si="89"/>
        <v>5.3921307194759809</v>
      </c>
      <c r="BN24" s="63">
        <f t="shared" ca="1" si="82"/>
        <v>5.2997385626771214</v>
      </c>
      <c r="BO24" s="63">
        <f t="shared" ca="1" si="83"/>
        <v>9.5899084981588061</v>
      </c>
      <c r="BP24" s="63">
        <f t="shared" ca="1" si="90"/>
        <v>5.2997385626771214</v>
      </c>
    </row>
    <row r="25" spans="1:68" x14ac:dyDescent="0.25">
      <c r="L25" s="582"/>
      <c r="M25" s="582"/>
      <c r="N25" s="582">
        <v>6</v>
      </c>
      <c r="O25" s="582">
        <v>7</v>
      </c>
      <c r="P25" s="582"/>
      <c r="Q25" s="594">
        <v>0</v>
      </c>
      <c r="R25" s="595">
        <v>15</v>
      </c>
      <c r="S25" s="596">
        <v>3</v>
      </c>
      <c r="T25" s="595">
        <v>11</v>
      </c>
      <c r="U25" s="596">
        <v>11</v>
      </c>
      <c r="V25" s="595">
        <v>3</v>
      </c>
      <c r="W25" s="596">
        <v>10</v>
      </c>
      <c r="X25" s="60">
        <f t="shared" si="39"/>
        <v>5</v>
      </c>
      <c r="Y25" s="60">
        <f t="shared" si="84"/>
        <v>0.45</v>
      </c>
      <c r="Z25" s="60">
        <f t="shared" si="85"/>
        <v>0.9</v>
      </c>
      <c r="AA25" s="60">
        <f t="shared" ca="1" si="47"/>
        <v>11.227232766462848</v>
      </c>
      <c r="AB25" s="60">
        <f t="shared" ca="1" si="48"/>
        <v>12.118132292769898</v>
      </c>
      <c r="AC25" s="63">
        <f t="shared" ca="1" si="49"/>
        <v>6.006653595750822</v>
      </c>
      <c r="AD25" s="63">
        <f t="shared" ca="1" si="50"/>
        <v>8.7637124197593756</v>
      </c>
      <c r="AE25" s="63">
        <f t="shared" ca="1" si="86"/>
        <v>6.006653595750822</v>
      </c>
      <c r="AF25" s="63">
        <f t="shared" ca="1" si="51"/>
        <v>8.5633986933428385</v>
      </c>
      <c r="AG25" s="63">
        <f t="shared" ca="1" si="52"/>
        <v>17.126797386685677</v>
      </c>
      <c r="AH25" s="63">
        <f t="shared" ca="1" si="87"/>
        <v>4.2816993466714193</v>
      </c>
      <c r="AI25" s="63">
        <f t="shared" ca="1" si="53"/>
        <v>1.4355032682719893</v>
      </c>
      <c r="AJ25" s="63">
        <f t="shared" ca="1" si="54"/>
        <v>15.756653595750823</v>
      </c>
      <c r="AK25" s="63">
        <f t="shared" ca="1" si="55"/>
        <v>7.8783267978754115</v>
      </c>
      <c r="AL25" s="63">
        <f t="shared" ca="1" si="56"/>
        <v>0.7690196080028513</v>
      </c>
      <c r="AM25" s="63">
        <f t="shared" ca="1" si="57"/>
        <v>6.8259346410765511</v>
      </c>
      <c r="AN25" s="63">
        <f t="shared" ca="1" si="58"/>
        <v>8.0495947717422673</v>
      </c>
      <c r="AO25" s="63">
        <f t="shared" ca="1" si="59"/>
        <v>4.7955032682719905</v>
      </c>
      <c r="AP25" s="63">
        <f t="shared" ca="1" si="60"/>
        <v>2.2557908501416972</v>
      </c>
      <c r="AQ25" s="63">
        <f t="shared" ca="1" si="61"/>
        <v>12.207921569617678</v>
      </c>
      <c r="AR25" s="63">
        <f t="shared" ca="1" si="62"/>
        <v>1.3126797386685676</v>
      </c>
      <c r="AS25" s="63">
        <f t="shared" ca="1" si="63"/>
        <v>4.7955032682719905</v>
      </c>
      <c r="AT25" s="63">
        <f t="shared" ca="1" si="64"/>
        <v>10.789882353611977</v>
      </c>
      <c r="AU25" s="63">
        <f t="shared" ca="1" si="65"/>
        <v>2.3977516341359952</v>
      </c>
      <c r="AV25" s="63">
        <f t="shared" ca="1" si="66"/>
        <v>4.8704575173513911</v>
      </c>
      <c r="AW25" s="63">
        <f t="shared" ca="1" si="67"/>
        <v>1.9690196080028513</v>
      </c>
      <c r="AX25" s="63">
        <f t="shared" ca="1" si="68"/>
        <v>3.1504313728045621</v>
      </c>
      <c r="AY25" s="63">
        <f t="shared" ca="1" si="69"/>
        <v>1.0501437909348541</v>
      </c>
      <c r="AZ25" s="63">
        <f t="shared" ca="1" si="70"/>
        <v>3.5966274512039922</v>
      </c>
      <c r="BA25" s="63">
        <f t="shared" ca="1" si="71"/>
        <v>5.8231111114731302</v>
      </c>
      <c r="BB25" s="63">
        <f t="shared" ca="1" si="72"/>
        <v>4.6141176480171078</v>
      </c>
      <c r="BC25" s="63">
        <f t="shared" ca="1" si="73"/>
        <v>11.157777778682824</v>
      </c>
      <c r="BD25" s="63">
        <f t="shared" ca="1" si="74"/>
        <v>3.1504313728045621</v>
      </c>
      <c r="BE25" s="63">
        <f t="shared" ca="1" si="75"/>
        <v>3.0828235296034219</v>
      </c>
      <c r="BF25" s="63">
        <f t="shared" ca="1" si="76"/>
        <v>1.7126797386685677</v>
      </c>
      <c r="BG25" s="63">
        <f t="shared" ca="1" si="88"/>
        <v>2.2557908501416972</v>
      </c>
      <c r="BH25" s="63">
        <f t="shared" ca="1" si="77"/>
        <v>16.671032681090807</v>
      </c>
      <c r="BI25" s="63">
        <f t="shared" ca="1" si="78"/>
        <v>2.1002875818697082</v>
      </c>
      <c r="BJ25" s="63">
        <f t="shared" ca="1" si="79"/>
        <v>2.3070588240085539</v>
      </c>
      <c r="BK25" s="63">
        <f t="shared" ca="1" si="80"/>
        <v>5.3921307194759809</v>
      </c>
      <c r="BL25" s="63">
        <f t="shared" ca="1" si="81"/>
        <v>9.873281046954812</v>
      </c>
      <c r="BM25" s="63">
        <f t="shared" ca="1" si="89"/>
        <v>5.3921307194759809</v>
      </c>
      <c r="BN25" s="63">
        <f t="shared" ca="1" si="82"/>
        <v>5.2997385626771214</v>
      </c>
      <c r="BO25" s="63">
        <f t="shared" ca="1" si="83"/>
        <v>9.5899084981588061</v>
      </c>
      <c r="BP25" s="63">
        <f t="shared" ca="1" si="90"/>
        <v>5.2997385626771214</v>
      </c>
    </row>
    <row r="26" spans="1:68" x14ac:dyDescent="0.25">
      <c r="L26" s="582"/>
      <c r="M26" s="582"/>
      <c r="N26" s="582">
        <v>6</v>
      </c>
      <c r="O26" s="582">
        <v>7</v>
      </c>
      <c r="P26" s="582"/>
      <c r="Q26" s="594">
        <v>0</v>
      </c>
      <c r="R26" s="595">
        <v>12</v>
      </c>
      <c r="S26" s="596">
        <v>14</v>
      </c>
      <c r="T26" s="595">
        <v>3</v>
      </c>
      <c r="U26" s="596">
        <v>11</v>
      </c>
      <c r="V26" s="595">
        <v>3</v>
      </c>
      <c r="W26" s="596">
        <v>10</v>
      </c>
      <c r="X26" s="60">
        <f t="shared" si="39"/>
        <v>4.625</v>
      </c>
      <c r="Y26" s="60">
        <f t="shared" si="84"/>
        <v>0.45</v>
      </c>
      <c r="Z26" s="60">
        <f t="shared" si="85"/>
        <v>0.78</v>
      </c>
      <c r="AA26" s="60">
        <f t="shared" ca="1" si="47"/>
        <v>11.227232766462848</v>
      </c>
      <c r="AB26" s="60">
        <f t="shared" ca="1" si="48"/>
        <v>12.118132292769898</v>
      </c>
      <c r="AC26" s="63">
        <f t="shared" ca="1" si="49"/>
        <v>5.1966535957508224</v>
      </c>
      <c r="AD26" s="63">
        <f t="shared" ca="1" si="50"/>
        <v>7.5937124197593757</v>
      </c>
      <c r="AE26" s="63">
        <f t="shared" ca="1" si="86"/>
        <v>5.1966535957508224</v>
      </c>
      <c r="AF26" s="63">
        <f t="shared" ca="1" si="51"/>
        <v>7.0633986933428377</v>
      </c>
      <c r="AG26" s="63">
        <f t="shared" ca="1" si="52"/>
        <v>14.126797386685675</v>
      </c>
      <c r="AH26" s="63">
        <f t="shared" ca="1" si="87"/>
        <v>3.5316993466714188</v>
      </c>
      <c r="AI26" s="63">
        <f t="shared" ca="1" si="53"/>
        <v>4.5155032682719902</v>
      </c>
      <c r="AJ26" s="63">
        <f t="shared" ca="1" si="54"/>
        <v>12.996653595750821</v>
      </c>
      <c r="AK26" s="63">
        <f t="shared" ca="1" si="55"/>
        <v>6.4983267978754107</v>
      </c>
      <c r="AL26" s="63">
        <f t="shared" ca="1" si="56"/>
        <v>2.4190196080028517</v>
      </c>
      <c r="AM26" s="63">
        <f t="shared" ca="1" si="57"/>
        <v>2.6659346410765514</v>
      </c>
      <c r="AN26" s="63">
        <f t="shared" ca="1" si="58"/>
        <v>6.6395947717422672</v>
      </c>
      <c r="AO26" s="63">
        <f t="shared" ca="1" si="59"/>
        <v>3.9555032682719893</v>
      </c>
      <c r="AP26" s="63">
        <f t="shared" ca="1" si="60"/>
        <v>7.0957908501416975</v>
      </c>
      <c r="AQ26" s="63">
        <f t="shared" ca="1" si="61"/>
        <v>6.4479215696176784</v>
      </c>
      <c r="AR26" s="63">
        <f t="shared" ca="1" si="62"/>
        <v>1.3126797386685676</v>
      </c>
      <c r="AS26" s="63">
        <f t="shared" ca="1" si="63"/>
        <v>3.9555032682719893</v>
      </c>
      <c r="AT26" s="63">
        <f t="shared" ca="1" si="64"/>
        <v>8.8998823536119751</v>
      </c>
      <c r="AU26" s="63">
        <f t="shared" ca="1" si="65"/>
        <v>1.9777516341359946</v>
      </c>
      <c r="AV26" s="63">
        <f t="shared" ca="1" si="66"/>
        <v>15.320457517351393</v>
      </c>
      <c r="AW26" s="63">
        <f t="shared" ca="1" si="67"/>
        <v>1.9690196080028513</v>
      </c>
      <c r="AX26" s="63">
        <f t="shared" ca="1" si="68"/>
        <v>3.1504313728045621</v>
      </c>
      <c r="AY26" s="63">
        <f t="shared" ca="1" si="69"/>
        <v>1.0501437909348541</v>
      </c>
      <c r="AZ26" s="63">
        <f t="shared" ca="1" si="70"/>
        <v>2.9666274512039918</v>
      </c>
      <c r="BA26" s="63">
        <f t="shared" ca="1" si="71"/>
        <v>4.8031111114731297</v>
      </c>
      <c r="BB26" s="63">
        <f t="shared" ca="1" si="72"/>
        <v>14.514117648017109</v>
      </c>
      <c r="BC26" s="63">
        <f t="shared" ca="1" si="73"/>
        <v>6.5177777786828237</v>
      </c>
      <c r="BD26" s="63">
        <f t="shared" ca="1" si="74"/>
        <v>3.1504313728045621</v>
      </c>
      <c r="BE26" s="63">
        <f t="shared" ca="1" si="75"/>
        <v>2.5428235296034214</v>
      </c>
      <c r="BF26" s="63">
        <f t="shared" ca="1" si="76"/>
        <v>1.4126797386685677</v>
      </c>
      <c r="BG26" s="63">
        <f t="shared" ca="1" si="88"/>
        <v>7.0957908501416975</v>
      </c>
      <c r="BH26" s="63">
        <f t="shared" ca="1" si="77"/>
        <v>8.6710326810908072</v>
      </c>
      <c r="BI26" s="63">
        <f t="shared" ca="1" si="78"/>
        <v>2.1002875818697082</v>
      </c>
      <c r="BJ26" s="63">
        <f t="shared" ca="1" si="79"/>
        <v>7.2570588240085545</v>
      </c>
      <c r="BK26" s="63">
        <f t="shared" ca="1" si="80"/>
        <v>4.1921307194759807</v>
      </c>
      <c r="BL26" s="63">
        <f t="shared" ca="1" si="81"/>
        <v>9.873281046954812</v>
      </c>
      <c r="BM26" s="63">
        <f t="shared" ca="1" si="89"/>
        <v>4.1921307194759807</v>
      </c>
      <c r="BN26" s="63">
        <f t="shared" ca="1" si="82"/>
        <v>3.859738562677121</v>
      </c>
      <c r="BO26" s="63">
        <f t="shared" ca="1" si="83"/>
        <v>9.5899084981588061</v>
      </c>
      <c r="BP26" s="63">
        <f t="shared" ca="1" si="90"/>
        <v>3.859738562677121</v>
      </c>
    </row>
    <row r="27" spans="1:68" x14ac:dyDescent="0.25">
      <c r="L27" s="582"/>
      <c r="M27" s="582"/>
      <c r="N27" s="582">
        <v>6</v>
      </c>
      <c r="O27" s="582">
        <v>7</v>
      </c>
      <c r="P27" s="582"/>
      <c r="Q27" s="594">
        <v>0</v>
      </c>
      <c r="R27" s="595">
        <v>12</v>
      </c>
      <c r="S27" s="596">
        <v>14</v>
      </c>
      <c r="T27" s="595">
        <v>3</v>
      </c>
      <c r="U27" s="596">
        <v>11</v>
      </c>
      <c r="V27" s="595">
        <v>3</v>
      </c>
      <c r="W27" s="596">
        <v>10</v>
      </c>
      <c r="X27" s="60">
        <f t="shared" si="39"/>
        <v>4.625</v>
      </c>
      <c r="Y27" s="60">
        <f t="shared" si="84"/>
        <v>0.45</v>
      </c>
      <c r="Z27" s="60">
        <f t="shared" si="85"/>
        <v>0.78</v>
      </c>
      <c r="AA27" s="60">
        <f t="shared" ca="1" si="47"/>
        <v>11.227232766462848</v>
      </c>
      <c r="AB27" s="60">
        <f t="shared" ca="1" si="48"/>
        <v>12.118132292769898</v>
      </c>
      <c r="AC27" s="63">
        <f t="shared" ca="1" si="49"/>
        <v>5.1966535957508224</v>
      </c>
      <c r="AD27" s="63">
        <f t="shared" ca="1" si="50"/>
        <v>7.5937124197593757</v>
      </c>
      <c r="AE27" s="63">
        <f t="shared" ca="1" si="86"/>
        <v>5.1966535957508224</v>
      </c>
      <c r="AF27" s="63">
        <f t="shared" ca="1" si="51"/>
        <v>7.0633986933428377</v>
      </c>
      <c r="AG27" s="63">
        <f t="shared" ca="1" si="52"/>
        <v>14.126797386685675</v>
      </c>
      <c r="AH27" s="63">
        <f t="shared" ca="1" si="87"/>
        <v>3.5316993466714188</v>
      </c>
      <c r="AI27" s="63">
        <f t="shared" ca="1" si="53"/>
        <v>4.5155032682719902</v>
      </c>
      <c r="AJ27" s="63">
        <f t="shared" ca="1" si="54"/>
        <v>12.996653595750821</v>
      </c>
      <c r="AK27" s="63">
        <f t="shared" ca="1" si="55"/>
        <v>6.4983267978754107</v>
      </c>
      <c r="AL27" s="63">
        <f t="shared" ca="1" si="56"/>
        <v>2.4190196080028517</v>
      </c>
      <c r="AM27" s="63">
        <f t="shared" ca="1" si="57"/>
        <v>2.6659346410765514</v>
      </c>
      <c r="AN27" s="63">
        <f t="shared" ca="1" si="58"/>
        <v>6.6395947717422672</v>
      </c>
      <c r="AO27" s="63">
        <f t="shared" ca="1" si="59"/>
        <v>3.9555032682719893</v>
      </c>
      <c r="AP27" s="63">
        <f t="shared" ca="1" si="60"/>
        <v>7.0957908501416975</v>
      </c>
      <c r="AQ27" s="63">
        <f t="shared" ca="1" si="61"/>
        <v>6.4479215696176784</v>
      </c>
      <c r="AR27" s="63">
        <f t="shared" ca="1" si="62"/>
        <v>1.3126797386685676</v>
      </c>
      <c r="AS27" s="63">
        <f t="shared" ca="1" si="63"/>
        <v>3.9555032682719893</v>
      </c>
      <c r="AT27" s="63">
        <f t="shared" ca="1" si="64"/>
        <v>8.8998823536119751</v>
      </c>
      <c r="AU27" s="63">
        <f t="shared" ca="1" si="65"/>
        <v>1.9777516341359946</v>
      </c>
      <c r="AV27" s="63">
        <f t="shared" ca="1" si="66"/>
        <v>15.320457517351393</v>
      </c>
      <c r="AW27" s="63">
        <f t="shared" ca="1" si="67"/>
        <v>1.9690196080028513</v>
      </c>
      <c r="AX27" s="63">
        <f t="shared" ca="1" si="68"/>
        <v>3.1504313728045621</v>
      </c>
      <c r="AY27" s="63">
        <f t="shared" ca="1" si="69"/>
        <v>1.0501437909348541</v>
      </c>
      <c r="AZ27" s="63">
        <f t="shared" ca="1" si="70"/>
        <v>2.9666274512039918</v>
      </c>
      <c r="BA27" s="63">
        <f t="shared" ca="1" si="71"/>
        <v>4.8031111114731297</v>
      </c>
      <c r="BB27" s="63">
        <f t="shared" ca="1" si="72"/>
        <v>14.514117648017109</v>
      </c>
      <c r="BC27" s="63">
        <f t="shared" ca="1" si="73"/>
        <v>6.5177777786828237</v>
      </c>
      <c r="BD27" s="63">
        <f t="shared" ca="1" si="74"/>
        <v>3.1504313728045621</v>
      </c>
      <c r="BE27" s="63">
        <f t="shared" ca="1" si="75"/>
        <v>2.5428235296034214</v>
      </c>
      <c r="BF27" s="63">
        <f t="shared" ca="1" si="76"/>
        <v>1.4126797386685677</v>
      </c>
      <c r="BG27" s="63">
        <f t="shared" ca="1" si="88"/>
        <v>7.0957908501416975</v>
      </c>
      <c r="BH27" s="63">
        <f t="shared" ca="1" si="77"/>
        <v>8.6710326810908072</v>
      </c>
      <c r="BI27" s="63">
        <f t="shared" ca="1" si="78"/>
        <v>2.1002875818697082</v>
      </c>
      <c r="BJ27" s="63">
        <f t="shared" ca="1" si="79"/>
        <v>7.2570588240085545</v>
      </c>
      <c r="BK27" s="63">
        <f t="shared" ca="1" si="80"/>
        <v>4.1921307194759807</v>
      </c>
      <c r="BL27" s="63">
        <f t="shared" ca="1" si="81"/>
        <v>9.873281046954812</v>
      </c>
      <c r="BM27" s="63">
        <f t="shared" ca="1" si="89"/>
        <v>4.1921307194759807</v>
      </c>
      <c r="BN27" s="63">
        <f t="shared" ca="1" si="82"/>
        <v>3.859738562677121</v>
      </c>
      <c r="BO27" s="63">
        <f t="shared" ca="1" si="83"/>
        <v>9.5899084981588061</v>
      </c>
      <c r="BP27" s="63">
        <f t="shared" ca="1" si="90"/>
        <v>3.859738562677121</v>
      </c>
    </row>
    <row r="28" spans="1:68" x14ac:dyDescent="0.25">
      <c r="L28" s="582"/>
      <c r="M28" s="582"/>
      <c r="N28" s="582">
        <v>6</v>
      </c>
      <c r="O28" s="582">
        <v>7</v>
      </c>
      <c r="P28" s="582"/>
      <c r="Q28" s="597">
        <v>0</v>
      </c>
      <c r="R28" s="593">
        <v>3</v>
      </c>
      <c r="S28" s="592">
        <v>14</v>
      </c>
      <c r="T28" s="593">
        <v>12</v>
      </c>
      <c r="U28" s="592">
        <v>7</v>
      </c>
      <c r="V28" s="593">
        <v>3</v>
      </c>
      <c r="W28" s="592">
        <v>10</v>
      </c>
      <c r="X28" s="60">
        <f t="shared" si="39"/>
        <v>2.5</v>
      </c>
      <c r="Y28" s="60">
        <f t="shared" si="84"/>
        <v>0.45</v>
      </c>
      <c r="Z28" s="60">
        <f t="shared" si="85"/>
        <v>0.42000000000000004</v>
      </c>
      <c r="AA28" s="60">
        <f t="shared" ca="1" si="47"/>
        <v>11.227232766462848</v>
      </c>
      <c r="AB28" s="60">
        <f t="shared" ca="1" si="48"/>
        <v>12.118132292769898</v>
      </c>
      <c r="AC28" s="63">
        <f t="shared" ca="1" si="49"/>
        <v>2.7666535957508218</v>
      </c>
      <c r="AD28" s="63">
        <f t="shared" ca="1" si="50"/>
        <v>4.0837124197593759</v>
      </c>
      <c r="AE28" s="63">
        <f t="shared" ca="1" si="86"/>
        <v>2.7666535957508218</v>
      </c>
      <c r="AF28" s="63">
        <f t="shared" ca="1" si="51"/>
        <v>2.5633986933428377</v>
      </c>
      <c r="AG28" s="63">
        <f t="shared" ca="1" si="52"/>
        <v>5.1267973866856753</v>
      </c>
      <c r="AH28" s="63">
        <f t="shared" ca="1" si="87"/>
        <v>1.2816993466714188</v>
      </c>
      <c r="AI28" s="63">
        <f t="shared" ca="1" si="53"/>
        <v>4.5155032682719902</v>
      </c>
      <c r="AJ28" s="63">
        <f t="shared" ca="1" si="54"/>
        <v>4.7166535957508211</v>
      </c>
      <c r="AK28" s="63">
        <f t="shared" ca="1" si="55"/>
        <v>2.3583267978754106</v>
      </c>
      <c r="AL28" s="63">
        <f t="shared" ca="1" si="56"/>
        <v>2.4190196080028517</v>
      </c>
      <c r="AM28" s="63">
        <f t="shared" ca="1" si="57"/>
        <v>7.3459346410765516</v>
      </c>
      <c r="AN28" s="63">
        <f t="shared" ca="1" si="58"/>
        <v>2.4095947717422672</v>
      </c>
      <c r="AO28" s="63">
        <f t="shared" ca="1" si="59"/>
        <v>1.4355032682719893</v>
      </c>
      <c r="AP28" s="63">
        <f t="shared" ca="1" si="60"/>
        <v>7.0957908501416975</v>
      </c>
      <c r="AQ28" s="63">
        <f t="shared" ca="1" si="61"/>
        <v>12.087921569617677</v>
      </c>
      <c r="AR28" s="63">
        <f t="shared" ca="1" si="62"/>
        <v>0.91267973866856755</v>
      </c>
      <c r="AS28" s="63">
        <f t="shared" ca="1" si="63"/>
        <v>1.4355032682719893</v>
      </c>
      <c r="AT28" s="63">
        <f t="shared" ca="1" si="64"/>
        <v>3.2298823536119756</v>
      </c>
      <c r="AU28" s="63">
        <f t="shared" ca="1" si="65"/>
        <v>0.71775163413599463</v>
      </c>
      <c r="AV28" s="63">
        <f t="shared" ca="1" si="66"/>
        <v>15.320457517351393</v>
      </c>
      <c r="AW28" s="63">
        <f t="shared" ca="1" si="67"/>
        <v>1.3690196080028512</v>
      </c>
      <c r="AX28" s="63">
        <f t="shared" ca="1" si="68"/>
        <v>2.1904313728045621</v>
      </c>
      <c r="AY28" s="63">
        <f t="shared" ca="1" si="69"/>
        <v>0.73014379093485404</v>
      </c>
      <c r="AZ28" s="63">
        <f t="shared" ca="1" si="70"/>
        <v>1.0766274512039917</v>
      </c>
      <c r="BA28" s="63">
        <f t="shared" ca="1" si="71"/>
        <v>1.7431111114731297</v>
      </c>
      <c r="BB28" s="63">
        <f t="shared" ca="1" si="72"/>
        <v>14.514117648017109</v>
      </c>
      <c r="BC28" s="63">
        <f t="shared" ca="1" si="73"/>
        <v>10.657777778682824</v>
      </c>
      <c r="BD28" s="63">
        <f t="shared" ca="1" si="74"/>
        <v>2.1904313728045621</v>
      </c>
      <c r="BE28" s="63">
        <f t="shared" ca="1" si="75"/>
        <v>0.92282352960342151</v>
      </c>
      <c r="BF28" s="63">
        <f t="shared" ca="1" si="76"/>
        <v>0.51267973866856753</v>
      </c>
      <c r="BG28" s="63">
        <f t="shared" ca="1" si="88"/>
        <v>7.0957908501416975</v>
      </c>
      <c r="BH28" s="63">
        <f t="shared" ca="1" si="77"/>
        <v>16.591032681090809</v>
      </c>
      <c r="BI28" s="63">
        <f t="shared" ca="1" si="78"/>
        <v>1.4602875818697081</v>
      </c>
      <c r="BJ28" s="63">
        <f t="shared" ca="1" si="79"/>
        <v>7.2570588240085545</v>
      </c>
      <c r="BK28" s="63">
        <f t="shared" ca="1" si="80"/>
        <v>4.7021307194759805</v>
      </c>
      <c r="BL28" s="63">
        <f t="shared" ca="1" si="81"/>
        <v>7.8332810469548129</v>
      </c>
      <c r="BM28" s="63">
        <f t="shared" ca="1" si="89"/>
        <v>4.7021307194759805</v>
      </c>
      <c r="BN28" s="63">
        <f t="shared" ca="1" si="82"/>
        <v>4.9597385626771215</v>
      </c>
      <c r="BO28" s="63">
        <f t="shared" ca="1" si="83"/>
        <v>8.2299084981588049</v>
      </c>
      <c r="BP28" s="63">
        <f t="shared" ca="1" si="90"/>
        <v>4.9597385626771215</v>
      </c>
    </row>
    <row r="29" spans="1:68" x14ac:dyDescent="0.25">
      <c r="L29" s="582"/>
      <c r="M29" s="582"/>
      <c r="N29" s="582">
        <v>6</v>
      </c>
      <c r="O29" s="582">
        <v>7</v>
      </c>
      <c r="P29" s="582"/>
      <c r="Q29" s="597">
        <v>0</v>
      </c>
      <c r="R29" s="593">
        <v>3</v>
      </c>
      <c r="S29" s="592">
        <v>14</v>
      </c>
      <c r="T29" s="593">
        <v>12</v>
      </c>
      <c r="U29" s="592">
        <v>7</v>
      </c>
      <c r="V29" s="593">
        <v>3</v>
      </c>
      <c r="W29" s="592">
        <v>10</v>
      </c>
      <c r="X29" s="60">
        <f t="shared" si="39"/>
        <v>2.5</v>
      </c>
      <c r="Y29" s="60">
        <f t="shared" si="84"/>
        <v>0.45</v>
      </c>
      <c r="Z29" s="60">
        <f t="shared" si="85"/>
        <v>0.42000000000000004</v>
      </c>
      <c r="AA29" s="60">
        <f t="shared" ca="1" si="47"/>
        <v>11.227232766462848</v>
      </c>
      <c r="AB29" s="60">
        <f t="shared" ca="1" si="48"/>
        <v>12.118132292769898</v>
      </c>
      <c r="AC29" s="63">
        <f t="shared" ca="1" si="49"/>
        <v>2.7666535957508218</v>
      </c>
      <c r="AD29" s="63">
        <f t="shared" ca="1" si="50"/>
        <v>4.0837124197593759</v>
      </c>
      <c r="AE29" s="63">
        <f t="shared" ca="1" si="86"/>
        <v>2.7666535957508218</v>
      </c>
      <c r="AF29" s="63">
        <f t="shared" ca="1" si="51"/>
        <v>2.5633986933428377</v>
      </c>
      <c r="AG29" s="63">
        <f t="shared" ca="1" si="52"/>
        <v>5.1267973866856753</v>
      </c>
      <c r="AH29" s="63">
        <f t="shared" ca="1" si="87"/>
        <v>1.2816993466714188</v>
      </c>
      <c r="AI29" s="63">
        <f t="shared" ca="1" si="53"/>
        <v>4.5155032682719902</v>
      </c>
      <c r="AJ29" s="63">
        <f t="shared" ca="1" si="54"/>
        <v>4.7166535957508211</v>
      </c>
      <c r="AK29" s="63">
        <f t="shared" ca="1" si="55"/>
        <v>2.3583267978754106</v>
      </c>
      <c r="AL29" s="63">
        <f t="shared" ca="1" si="56"/>
        <v>2.4190196080028517</v>
      </c>
      <c r="AM29" s="63">
        <f t="shared" ca="1" si="57"/>
        <v>7.3459346410765516</v>
      </c>
      <c r="AN29" s="63">
        <f t="shared" ca="1" si="58"/>
        <v>2.4095947717422672</v>
      </c>
      <c r="AO29" s="63">
        <f t="shared" ca="1" si="59"/>
        <v>1.4355032682719893</v>
      </c>
      <c r="AP29" s="63">
        <f t="shared" ca="1" si="60"/>
        <v>7.0957908501416975</v>
      </c>
      <c r="AQ29" s="63">
        <f t="shared" ca="1" si="61"/>
        <v>12.087921569617677</v>
      </c>
      <c r="AR29" s="63">
        <f t="shared" ca="1" si="62"/>
        <v>0.91267973866856755</v>
      </c>
      <c r="AS29" s="63">
        <f t="shared" ca="1" si="63"/>
        <v>1.4355032682719893</v>
      </c>
      <c r="AT29" s="63">
        <f t="shared" ca="1" si="64"/>
        <v>3.2298823536119756</v>
      </c>
      <c r="AU29" s="63">
        <f t="shared" ca="1" si="65"/>
        <v>0.71775163413599463</v>
      </c>
      <c r="AV29" s="63">
        <f t="shared" ca="1" si="66"/>
        <v>15.320457517351393</v>
      </c>
      <c r="AW29" s="63">
        <f t="shared" ca="1" si="67"/>
        <v>1.3690196080028512</v>
      </c>
      <c r="AX29" s="63">
        <f t="shared" ca="1" si="68"/>
        <v>2.1904313728045621</v>
      </c>
      <c r="AY29" s="63">
        <f t="shared" ca="1" si="69"/>
        <v>0.73014379093485404</v>
      </c>
      <c r="AZ29" s="63">
        <f t="shared" ca="1" si="70"/>
        <v>1.0766274512039917</v>
      </c>
      <c r="BA29" s="63">
        <f t="shared" ca="1" si="71"/>
        <v>1.7431111114731297</v>
      </c>
      <c r="BB29" s="63">
        <f t="shared" ca="1" si="72"/>
        <v>14.514117648017109</v>
      </c>
      <c r="BC29" s="63">
        <f t="shared" ca="1" si="73"/>
        <v>10.657777778682824</v>
      </c>
      <c r="BD29" s="63">
        <f t="shared" ca="1" si="74"/>
        <v>2.1904313728045621</v>
      </c>
      <c r="BE29" s="63">
        <f t="shared" ca="1" si="75"/>
        <v>0.92282352960342151</v>
      </c>
      <c r="BF29" s="63">
        <f t="shared" ca="1" si="76"/>
        <v>0.51267973866856753</v>
      </c>
      <c r="BG29" s="63">
        <f t="shared" ca="1" si="88"/>
        <v>7.0957908501416975</v>
      </c>
      <c r="BH29" s="63">
        <f t="shared" ca="1" si="77"/>
        <v>16.591032681090809</v>
      </c>
      <c r="BI29" s="63">
        <f t="shared" ca="1" si="78"/>
        <v>1.4602875818697081</v>
      </c>
      <c r="BJ29" s="63">
        <f t="shared" ca="1" si="79"/>
        <v>7.2570588240085545</v>
      </c>
      <c r="BK29" s="63">
        <f t="shared" ca="1" si="80"/>
        <v>4.7021307194759805</v>
      </c>
      <c r="BL29" s="63">
        <f t="shared" ca="1" si="81"/>
        <v>7.8332810469548129</v>
      </c>
      <c r="BM29" s="63">
        <f t="shared" ca="1" si="89"/>
        <v>4.7021307194759805</v>
      </c>
      <c r="BN29" s="63">
        <f t="shared" ca="1" si="82"/>
        <v>4.9597385626771215</v>
      </c>
      <c r="BO29" s="63">
        <f t="shared" ca="1" si="83"/>
        <v>8.2299084981588049</v>
      </c>
      <c r="BP29" s="63">
        <f t="shared" ca="1" si="90"/>
        <v>4.9597385626771215</v>
      </c>
    </row>
    <row r="30" spans="1:68" x14ac:dyDescent="0.25">
      <c r="L30" s="582"/>
      <c r="M30" s="582"/>
      <c r="N30" s="582">
        <v>6</v>
      </c>
      <c r="O30" s="582">
        <v>7</v>
      </c>
      <c r="P30" s="582"/>
      <c r="Q30" s="597">
        <v>0</v>
      </c>
      <c r="R30" s="593">
        <v>3</v>
      </c>
      <c r="S30" s="592">
        <v>14</v>
      </c>
      <c r="T30" s="593">
        <v>15</v>
      </c>
      <c r="U30" s="592">
        <v>7</v>
      </c>
      <c r="V30" s="593">
        <v>7</v>
      </c>
      <c r="W30" s="592">
        <v>10</v>
      </c>
      <c r="X30" s="60">
        <f t="shared" si="39"/>
        <v>2.5</v>
      </c>
      <c r="Y30" s="60">
        <f t="shared" si="84"/>
        <v>0.65</v>
      </c>
      <c r="Z30" s="60">
        <f t="shared" si="85"/>
        <v>0.42000000000000004</v>
      </c>
      <c r="AA30" s="60">
        <f t="shared" ca="1" si="47"/>
        <v>11.227232766462848</v>
      </c>
      <c r="AB30" s="60">
        <f t="shared" ca="1" si="48"/>
        <v>12.118132292769898</v>
      </c>
      <c r="AC30" s="63">
        <f t="shared" ca="1" si="49"/>
        <v>2.7666535957508218</v>
      </c>
      <c r="AD30" s="63">
        <f t="shared" ca="1" si="50"/>
        <v>4.0837124197593759</v>
      </c>
      <c r="AE30" s="63">
        <f t="shared" ca="1" si="86"/>
        <v>2.7666535957508218</v>
      </c>
      <c r="AF30" s="63">
        <f t="shared" ca="1" si="51"/>
        <v>2.5633986933428377</v>
      </c>
      <c r="AG30" s="63">
        <f t="shared" ca="1" si="52"/>
        <v>5.1267973866856753</v>
      </c>
      <c r="AH30" s="63">
        <f t="shared" ca="1" si="87"/>
        <v>1.2816993466714188</v>
      </c>
      <c r="AI30" s="63">
        <f t="shared" ca="1" si="53"/>
        <v>4.5155032682719902</v>
      </c>
      <c r="AJ30" s="63">
        <f t="shared" ca="1" si="54"/>
        <v>4.7166535957508211</v>
      </c>
      <c r="AK30" s="63">
        <f t="shared" ca="1" si="55"/>
        <v>2.3583267978754106</v>
      </c>
      <c r="AL30" s="63">
        <f t="shared" ca="1" si="56"/>
        <v>2.4190196080028517</v>
      </c>
      <c r="AM30" s="63">
        <f t="shared" ca="1" si="57"/>
        <v>8.9059346410765521</v>
      </c>
      <c r="AN30" s="63">
        <f t="shared" ca="1" si="58"/>
        <v>2.4095947717422672</v>
      </c>
      <c r="AO30" s="63">
        <f t="shared" ca="1" si="59"/>
        <v>1.4355032682719893</v>
      </c>
      <c r="AP30" s="63">
        <f t="shared" ca="1" si="60"/>
        <v>7.0957908501416975</v>
      </c>
      <c r="AQ30" s="63">
        <f t="shared" ca="1" si="61"/>
        <v>14.247921569617679</v>
      </c>
      <c r="AR30" s="63">
        <f t="shared" ca="1" si="62"/>
        <v>0.91267973866856755</v>
      </c>
      <c r="AS30" s="63">
        <f t="shared" ca="1" si="63"/>
        <v>1.4355032682719893</v>
      </c>
      <c r="AT30" s="63">
        <f t="shared" ca="1" si="64"/>
        <v>3.2298823536119756</v>
      </c>
      <c r="AU30" s="63">
        <f t="shared" ca="1" si="65"/>
        <v>0.71775163413599463</v>
      </c>
      <c r="AV30" s="63">
        <f t="shared" ca="1" si="66"/>
        <v>15.320457517351393</v>
      </c>
      <c r="AW30" s="63">
        <f t="shared" ca="1" si="67"/>
        <v>1.3690196080028512</v>
      </c>
      <c r="AX30" s="63">
        <f t="shared" ca="1" si="68"/>
        <v>2.1904313728045621</v>
      </c>
      <c r="AY30" s="63">
        <f t="shared" ca="1" si="69"/>
        <v>0.73014379093485404</v>
      </c>
      <c r="AZ30" s="63">
        <f t="shared" ca="1" si="70"/>
        <v>1.0766274512039917</v>
      </c>
      <c r="BA30" s="63">
        <f t="shared" ca="1" si="71"/>
        <v>1.7431111114731297</v>
      </c>
      <c r="BB30" s="63">
        <f t="shared" ca="1" si="72"/>
        <v>14.514117648017109</v>
      </c>
      <c r="BC30" s="63">
        <f t="shared" ca="1" si="73"/>
        <v>12.397777778682826</v>
      </c>
      <c r="BD30" s="63">
        <f t="shared" ca="1" si="74"/>
        <v>2.1904313728045621</v>
      </c>
      <c r="BE30" s="63">
        <f t="shared" ca="1" si="75"/>
        <v>0.92282352960342151</v>
      </c>
      <c r="BF30" s="63">
        <f t="shared" ca="1" si="76"/>
        <v>0.51267973866856753</v>
      </c>
      <c r="BG30" s="63">
        <f t="shared" ca="1" si="88"/>
        <v>7.0957908501416975</v>
      </c>
      <c r="BH30" s="63">
        <f t="shared" ca="1" si="77"/>
        <v>19.591032681090809</v>
      </c>
      <c r="BI30" s="63">
        <f t="shared" ca="1" si="78"/>
        <v>1.4602875818697081</v>
      </c>
      <c r="BJ30" s="63">
        <f t="shared" ca="1" si="79"/>
        <v>7.2570588240085545</v>
      </c>
      <c r="BK30" s="63">
        <f t="shared" ca="1" si="80"/>
        <v>5.6721307194759811</v>
      </c>
      <c r="BL30" s="63">
        <f t="shared" ca="1" si="81"/>
        <v>10.313281046954813</v>
      </c>
      <c r="BM30" s="63">
        <f t="shared" ca="1" si="89"/>
        <v>5.6721307194759811</v>
      </c>
      <c r="BN30" s="63">
        <f t="shared" ca="1" si="82"/>
        <v>6.4597385626771224</v>
      </c>
      <c r="BO30" s="63">
        <f t="shared" ca="1" si="83"/>
        <v>12.229908498158805</v>
      </c>
      <c r="BP30" s="63">
        <f t="shared" ca="1" si="90"/>
        <v>6.4597385626771224</v>
      </c>
    </row>
    <row r="31" spans="1:68" x14ac:dyDescent="0.25">
      <c r="L31" s="582"/>
      <c r="M31" s="582"/>
      <c r="N31" s="582">
        <v>6</v>
      </c>
      <c r="O31" s="582">
        <v>7</v>
      </c>
      <c r="P31" s="582"/>
      <c r="Q31" s="597">
        <v>0</v>
      </c>
      <c r="R31" s="593">
        <v>3</v>
      </c>
      <c r="S31" s="592">
        <v>12</v>
      </c>
      <c r="T31" s="593">
        <v>15</v>
      </c>
      <c r="U31" s="592">
        <v>7</v>
      </c>
      <c r="V31" s="593">
        <v>7</v>
      </c>
      <c r="W31" s="592">
        <v>10</v>
      </c>
      <c r="X31" s="60">
        <f t="shared" si="39"/>
        <v>2.5</v>
      </c>
      <c r="Y31" s="60">
        <f t="shared" si="84"/>
        <v>0.65</v>
      </c>
      <c r="Z31" s="60">
        <f t="shared" si="85"/>
        <v>0.42000000000000004</v>
      </c>
      <c r="AA31" s="60">
        <f t="shared" ca="1" si="47"/>
        <v>11.227232766462848</v>
      </c>
      <c r="AB31" s="60">
        <f t="shared" ca="1" si="48"/>
        <v>12.118132292769898</v>
      </c>
      <c r="AC31" s="63">
        <f t="shared" ca="1" si="49"/>
        <v>2.7666535957508218</v>
      </c>
      <c r="AD31" s="63">
        <f t="shared" ca="1" si="50"/>
        <v>4.0837124197593759</v>
      </c>
      <c r="AE31" s="63">
        <f t="shared" ca="1" si="86"/>
        <v>2.7666535957508218</v>
      </c>
      <c r="AF31" s="63">
        <f t="shared" ca="1" si="51"/>
        <v>2.5633986933428377</v>
      </c>
      <c r="AG31" s="63">
        <f t="shared" ca="1" si="52"/>
        <v>5.1267973866856753</v>
      </c>
      <c r="AH31" s="63">
        <f t="shared" ca="1" si="87"/>
        <v>1.2816993466714188</v>
      </c>
      <c r="AI31" s="63">
        <f t="shared" ca="1" si="53"/>
        <v>3.9555032682719893</v>
      </c>
      <c r="AJ31" s="63">
        <f t="shared" ca="1" si="54"/>
        <v>4.7166535957508211</v>
      </c>
      <c r="AK31" s="63">
        <f t="shared" ca="1" si="55"/>
        <v>2.3583267978754106</v>
      </c>
      <c r="AL31" s="63">
        <f t="shared" ca="1" si="56"/>
        <v>2.1190196080028514</v>
      </c>
      <c r="AM31" s="63">
        <f t="shared" ca="1" si="57"/>
        <v>8.9059346410765521</v>
      </c>
      <c r="AN31" s="63">
        <f t="shared" ca="1" si="58"/>
        <v>2.4095947717422672</v>
      </c>
      <c r="AO31" s="63">
        <f t="shared" ca="1" si="59"/>
        <v>1.4355032682719893</v>
      </c>
      <c r="AP31" s="63">
        <f t="shared" ca="1" si="60"/>
        <v>6.2157908501416967</v>
      </c>
      <c r="AQ31" s="63">
        <f t="shared" ca="1" si="61"/>
        <v>14.247921569617679</v>
      </c>
      <c r="AR31" s="63">
        <f t="shared" ca="1" si="62"/>
        <v>0.91267973866856755</v>
      </c>
      <c r="AS31" s="63">
        <f t="shared" ca="1" si="63"/>
        <v>1.4355032682719893</v>
      </c>
      <c r="AT31" s="63">
        <f t="shared" ca="1" si="64"/>
        <v>3.2298823536119756</v>
      </c>
      <c r="AU31" s="63">
        <f t="shared" ca="1" si="65"/>
        <v>0.71775163413599463</v>
      </c>
      <c r="AV31" s="63">
        <f t="shared" ca="1" si="66"/>
        <v>13.420457517351391</v>
      </c>
      <c r="AW31" s="63">
        <f t="shared" ca="1" si="67"/>
        <v>1.3690196080028512</v>
      </c>
      <c r="AX31" s="63">
        <f t="shared" ca="1" si="68"/>
        <v>2.1904313728045621</v>
      </c>
      <c r="AY31" s="63">
        <f t="shared" ca="1" si="69"/>
        <v>0.73014379093485404</v>
      </c>
      <c r="AZ31" s="63">
        <f t="shared" ca="1" si="70"/>
        <v>1.0766274512039917</v>
      </c>
      <c r="BA31" s="63">
        <f t="shared" ca="1" si="71"/>
        <v>1.7431111114731297</v>
      </c>
      <c r="BB31" s="63">
        <f t="shared" ca="1" si="72"/>
        <v>12.714117648017108</v>
      </c>
      <c r="BC31" s="63">
        <f t="shared" ca="1" si="73"/>
        <v>12.397777778682826</v>
      </c>
      <c r="BD31" s="63">
        <f t="shared" ca="1" si="74"/>
        <v>2.1904313728045621</v>
      </c>
      <c r="BE31" s="63">
        <f t="shared" ca="1" si="75"/>
        <v>0.92282352960342151</v>
      </c>
      <c r="BF31" s="63">
        <f t="shared" ca="1" si="76"/>
        <v>0.51267973866856753</v>
      </c>
      <c r="BG31" s="63">
        <f t="shared" ca="1" si="88"/>
        <v>6.2157908501416967</v>
      </c>
      <c r="BH31" s="63">
        <f t="shared" ca="1" si="77"/>
        <v>19.591032681090809</v>
      </c>
      <c r="BI31" s="63">
        <f t="shared" ca="1" si="78"/>
        <v>1.4602875818697081</v>
      </c>
      <c r="BJ31" s="63">
        <f t="shared" ca="1" si="79"/>
        <v>6.3570588240085542</v>
      </c>
      <c r="BK31" s="63">
        <f t="shared" ca="1" si="80"/>
        <v>5.6721307194759811</v>
      </c>
      <c r="BL31" s="63">
        <f t="shared" ca="1" si="81"/>
        <v>10.313281046954813</v>
      </c>
      <c r="BM31" s="63">
        <f t="shared" ca="1" si="89"/>
        <v>5.6721307194759811</v>
      </c>
      <c r="BN31" s="63">
        <f t="shared" ca="1" si="82"/>
        <v>6.4597385626771224</v>
      </c>
      <c r="BO31" s="63">
        <f t="shared" ca="1" si="83"/>
        <v>12.229908498158805</v>
      </c>
      <c r="BP31" s="63">
        <f t="shared" ca="1" si="90"/>
        <v>6.4597385626771224</v>
      </c>
    </row>
    <row r="32" spans="1:68" x14ac:dyDescent="0.25">
      <c r="L32" s="582"/>
      <c r="M32" s="582"/>
      <c r="N32" s="582">
        <v>6</v>
      </c>
      <c r="O32" s="582">
        <v>7</v>
      </c>
      <c r="P32" s="582"/>
      <c r="Q32" s="597">
        <v>0</v>
      </c>
      <c r="R32" s="593">
        <v>3</v>
      </c>
      <c r="S32" s="592">
        <v>12</v>
      </c>
      <c r="T32" s="593">
        <v>15</v>
      </c>
      <c r="U32" s="592">
        <v>7</v>
      </c>
      <c r="V32" s="593">
        <v>7</v>
      </c>
      <c r="W32" s="592">
        <v>10</v>
      </c>
      <c r="X32" s="60">
        <f t="shared" si="39"/>
        <v>2.5</v>
      </c>
      <c r="Y32" s="60">
        <f t="shared" si="84"/>
        <v>0.65</v>
      </c>
      <c r="Z32" s="60">
        <f t="shared" si="85"/>
        <v>0.42000000000000004</v>
      </c>
      <c r="AA32" s="60">
        <f t="shared" ca="1" si="47"/>
        <v>11.227232766462848</v>
      </c>
      <c r="AB32" s="60">
        <f t="shared" ca="1" si="48"/>
        <v>12.118132292769898</v>
      </c>
      <c r="AC32" s="63">
        <f t="shared" ca="1" si="49"/>
        <v>2.7666535957508218</v>
      </c>
      <c r="AD32" s="63">
        <f t="shared" ca="1" si="50"/>
        <v>4.0837124197593759</v>
      </c>
      <c r="AE32" s="63">
        <f t="shared" ca="1" si="86"/>
        <v>2.7666535957508218</v>
      </c>
      <c r="AF32" s="63">
        <f t="shared" ca="1" si="51"/>
        <v>2.5633986933428377</v>
      </c>
      <c r="AG32" s="63">
        <f t="shared" ca="1" si="52"/>
        <v>5.1267973866856753</v>
      </c>
      <c r="AH32" s="63">
        <f t="shared" ca="1" si="87"/>
        <v>1.2816993466714188</v>
      </c>
      <c r="AI32" s="63">
        <f t="shared" ca="1" si="53"/>
        <v>3.9555032682719893</v>
      </c>
      <c r="AJ32" s="63">
        <f t="shared" ca="1" si="54"/>
        <v>4.7166535957508211</v>
      </c>
      <c r="AK32" s="63">
        <f t="shared" ca="1" si="55"/>
        <v>2.3583267978754106</v>
      </c>
      <c r="AL32" s="63">
        <f t="shared" ca="1" si="56"/>
        <v>2.1190196080028514</v>
      </c>
      <c r="AM32" s="63">
        <f t="shared" ca="1" si="57"/>
        <v>8.9059346410765521</v>
      </c>
      <c r="AN32" s="63">
        <f t="shared" ca="1" si="58"/>
        <v>2.4095947717422672</v>
      </c>
      <c r="AO32" s="63">
        <f t="shared" ca="1" si="59"/>
        <v>1.4355032682719893</v>
      </c>
      <c r="AP32" s="63">
        <f t="shared" ca="1" si="60"/>
        <v>6.2157908501416967</v>
      </c>
      <c r="AQ32" s="63">
        <f t="shared" ca="1" si="61"/>
        <v>14.247921569617679</v>
      </c>
      <c r="AR32" s="63">
        <f t="shared" ca="1" si="62"/>
        <v>0.91267973866856755</v>
      </c>
      <c r="AS32" s="63">
        <f t="shared" ca="1" si="63"/>
        <v>1.4355032682719893</v>
      </c>
      <c r="AT32" s="63">
        <f t="shared" ca="1" si="64"/>
        <v>3.2298823536119756</v>
      </c>
      <c r="AU32" s="63">
        <f t="shared" ca="1" si="65"/>
        <v>0.71775163413599463</v>
      </c>
      <c r="AV32" s="63">
        <f t="shared" ca="1" si="66"/>
        <v>13.420457517351391</v>
      </c>
      <c r="AW32" s="63">
        <f t="shared" ca="1" si="67"/>
        <v>1.3690196080028512</v>
      </c>
      <c r="AX32" s="63">
        <f t="shared" ca="1" si="68"/>
        <v>2.1904313728045621</v>
      </c>
      <c r="AY32" s="63">
        <f t="shared" ca="1" si="69"/>
        <v>0.73014379093485404</v>
      </c>
      <c r="AZ32" s="63">
        <f t="shared" ca="1" si="70"/>
        <v>1.0766274512039917</v>
      </c>
      <c r="BA32" s="63">
        <f t="shared" ca="1" si="71"/>
        <v>1.7431111114731297</v>
      </c>
      <c r="BB32" s="63">
        <f t="shared" ca="1" si="72"/>
        <v>12.714117648017108</v>
      </c>
      <c r="BC32" s="63">
        <f t="shared" ca="1" si="73"/>
        <v>12.397777778682826</v>
      </c>
      <c r="BD32" s="63">
        <f t="shared" ca="1" si="74"/>
        <v>2.1904313728045621</v>
      </c>
      <c r="BE32" s="63">
        <f t="shared" ca="1" si="75"/>
        <v>0.92282352960342151</v>
      </c>
      <c r="BF32" s="63">
        <f t="shared" ca="1" si="76"/>
        <v>0.51267973866856753</v>
      </c>
      <c r="BG32" s="63">
        <f t="shared" ca="1" si="88"/>
        <v>6.2157908501416967</v>
      </c>
      <c r="BH32" s="63">
        <f t="shared" ca="1" si="77"/>
        <v>19.591032681090809</v>
      </c>
      <c r="BI32" s="63">
        <f t="shared" ca="1" si="78"/>
        <v>1.4602875818697081</v>
      </c>
      <c r="BJ32" s="63">
        <f t="shared" ca="1" si="79"/>
        <v>6.3570588240085542</v>
      </c>
      <c r="BK32" s="63">
        <f t="shared" ca="1" si="80"/>
        <v>5.6721307194759811</v>
      </c>
      <c r="BL32" s="63">
        <f t="shared" ca="1" si="81"/>
        <v>10.313281046954813</v>
      </c>
      <c r="BM32" s="63">
        <f t="shared" ca="1" si="89"/>
        <v>5.6721307194759811</v>
      </c>
      <c r="BN32" s="63">
        <f t="shared" ca="1" si="82"/>
        <v>6.4597385626771224</v>
      </c>
      <c r="BO32" s="63">
        <f t="shared" ca="1" si="83"/>
        <v>12.229908498158805</v>
      </c>
      <c r="BP32" s="63">
        <f t="shared" ca="1" si="90"/>
        <v>6.4597385626771224</v>
      </c>
    </row>
    <row r="33" spans="12:68" x14ac:dyDescent="0.25">
      <c r="L33" s="582"/>
      <c r="M33" s="582"/>
      <c r="N33" s="582">
        <v>6</v>
      </c>
      <c r="O33" s="582">
        <v>7</v>
      </c>
      <c r="P33" s="582"/>
      <c r="Q33" s="597">
        <v>0</v>
      </c>
      <c r="R33" s="593">
        <v>3</v>
      </c>
      <c r="S33" s="592">
        <v>12</v>
      </c>
      <c r="T33" s="593">
        <v>3</v>
      </c>
      <c r="U33" s="592">
        <v>14</v>
      </c>
      <c r="V33" s="593">
        <v>10</v>
      </c>
      <c r="W33" s="592">
        <v>10</v>
      </c>
      <c r="X33" s="60">
        <f t="shared" si="39"/>
        <v>4.25</v>
      </c>
      <c r="Y33" s="60">
        <f t="shared" si="84"/>
        <v>0.8</v>
      </c>
      <c r="Z33" s="60">
        <f t="shared" si="85"/>
        <v>0.42000000000000004</v>
      </c>
      <c r="AA33" s="60">
        <f t="shared" ca="1" si="47"/>
        <v>11.227232766462848</v>
      </c>
      <c r="AB33" s="60">
        <f t="shared" ca="1" si="48"/>
        <v>12.118132292769898</v>
      </c>
      <c r="AC33" s="63">
        <f t="shared" ca="1" si="49"/>
        <v>2.7666535957508218</v>
      </c>
      <c r="AD33" s="63">
        <f t="shared" ca="1" si="50"/>
        <v>4.0837124197593759</v>
      </c>
      <c r="AE33" s="63">
        <f t="shared" ca="1" si="86"/>
        <v>2.7666535957508218</v>
      </c>
      <c r="AF33" s="63">
        <f t="shared" ca="1" si="51"/>
        <v>2.5633986933428377</v>
      </c>
      <c r="AG33" s="63">
        <f t="shared" ca="1" si="52"/>
        <v>5.1267973866856753</v>
      </c>
      <c r="AH33" s="63">
        <f t="shared" ca="1" si="87"/>
        <v>1.2816993466714188</v>
      </c>
      <c r="AI33" s="63">
        <f t="shared" ca="1" si="53"/>
        <v>3.9555032682719893</v>
      </c>
      <c r="AJ33" s="63">
        <f t="shared" ca="1" si="54"/>
        <v>4.7166535957508211</v>
      </c>
      <c r="AK33" s="63">
        <f t="shared" ca="1" si="55"/>
        <v>2.3583267978754106</v>
      </c>
      <c r="AL33" s="63">
        <f t="shared" ca="1" si="56"/>
        <v>2.1190196080028514</v>
      </c>
      <c r="AM33" s="63">
        <f t="shared" ca="1" si="57"/>
        <v>2.6659346410765514</v>
      </c>
      <c r="AN33" s="63">
        <f t="shared" ca="1" si="58"/>
        <v>2.4095947717422672</v>
      </c>
      <c r="AO33" s="63">
        <f t="shared" ca="1" si="59"/>
        <v>1.4355032682719893</v>
      </c>
      <c r="AP33" s="63">
        <f t="shared" ca="1" si="60"/>
        <v>6.2157908501416967</v>
      </c>
      <c r="AQ33" s="63">
        <f t="shared" ca="1" si="61"/>
        <v>7.0779215696176783</v>
      </c>
      <c r="AR33" s="63">
        <f t="shared" ca="1" si="62"/>
        <v>1.6126797386685678</v>
      </c>
      <c r="AS33" s="63">
        <f t="shared" ca="1" si="63"/>
        <v>1.4355032682719893</v>
      </c>
      <c r="AT33" s="63">
        <f t="shared" ca="1" si="64"/>
        <v>3.2298823536119756</v>
      </c>
      <c r="AU33" s="63">
        <f t="shared" ca="1" si="65"/>
        <v>0.71775163413599463</v>
      </c>
      <c r="AV33" s="63">
        <f t="shared" ca="1" si="66"/>
        <v>13.420457517351391</v>
      </c>
      <c r="AW33" s="63">
        <f t="shared" ca="1" si="67"/>
        <v>2.4190196080028517</v>
      </c>
      <c r="AX33" s="63">
        <f t="shared" ca="1" si="68"/>
        <v>3.8704313728045623</v>
      </c>
      <c r="AY33" s="63">
        <f t="shared" ca="1" si="69"/>
        <v>1.2901437909348541</v>
      </c>
      <c r="AZ33" s="63">
        <f t="shared" ca="1" si="70"/>
        <v>1.0766274512039917</v>
      </c>
      <c r="BA33" s="63">
        <f t="shared" ca="1" si="71"/>
        <v>1.7431111114731297</v>
      </c>
      <c r="BB33" s="63">
        <f t="shared" ca="1" si="72"/>
        <v>12.714117648017108</v>
      </c>
      <c r="BC33" s="63">
        <f t="shared" ca="1" si="73"/>
        <v>7.3277777786828242</v>
      </c>
      <c r="BD33" s="63">
        <f t="shared" ca="1" si="74"/>
        <v>3.8704313728045623</v>
      </c>
      <c r="BE33" s="63">
        <f t="shared" ca="1" si="75"/>
        <v>0.92282352960342151</v>
      </c>
      <c r="BF33" s="63">
        <f t="shared" ca="1" si="76"/>
        <v>0.51267973866856753</v>
      </c>
      <c r="BG33" s="63">
        <f t="shared" ca="1" si="88"/>
        <v>6.2157908501416967</v>
      </c>
      <c r="BH33" s="63">
        <f t="shared" ca="1" si="77"/>
        <v>9.4810326810908094</v>
      </c>
      <c r="BI33" s="63">
        <f t="shared" ca="1" si="78"/>
        <v>2.5802875818697082</v>
      </c>
      <c r="BJ33" s="63">
        <f t="shared" ca="1" si="79"/>
        <v>6.3570588240085542</v>
      </c>
      <c r="BK33" s="63">
        <f t="shared" ca="1" si="80"/>
        <v>5.7321307194759816</v>
      </c>
      <c r="BL33" s="63">
        <f t="shared" ca="1" si="81"/>
        <v>15.743281046954813</v>
      </c>
      <c r="BM33" s="63">
        <f t="shared" ca="1" si="89"/>
        <v>5.7321307194759816</v>
      </c>
      <c r="BN33" s="63">
        <f t="shared" ca="1" si="82"/>
        <v>5.9297385626771213</v>
      </c>
      <c r="BO33" s="63">
        <f t="shared" ca="1" si="83"/>
        <v>17.609908498158806</v>
      </c>
      <c r="BP33" s="63">
        <f t="shared" ca="1" si="90"/>
        <v>5.9297385626771213</v>
      </c>
    </row>
    <row r="34" spans="12:68" x14ac:dyDescent="0.25">
      <c r="L34" s="582"/>
      <c r="M34" s="582"/>
      <c r="N34" s="582">
        <v>6</v>
      </c>
      <c r="O34" s="582">
        <v>7</v>
      </c>
      <c r="P34" s="582"/>
      <c r="Q34" s="597">
        <v>0</v>
      </c>
      <c r="R34" s="593">
        <v>3</v>
      </c>
      <c r="S34" s="592">
        <v>12</v>
      </c>
      <c r="T34" s="593">
        <v>3</v>
      </c>
      <c r="U34" s="592">
        <v>14</v>
      </c>
      <c r="V34" s="593">
        <v>10</v>
      </c>
      <c r="W34" s="592">
        <v>10</v>
      </c>
      <c r="X34" s="60">
        <f t="shared" si="39"/>
        <v>4.25</v>
      </c>
      <c r="Y34" s="60">
        <f t="shared" si="84"/>
        <v>0.8</v>
      </c>
      <c r="Z34" s="60">
        <f t="shared" si="85"/>
        <v>0.42000000000000004</v>
      </c>
      <c r="AA34" s="60">
        <f t="shared" ca="1" si="47"/>
        <v>11.227232766462848</v>
      </c>
      <c r="AB34" s="60">
        <f t="shared" ca="1" si="48"/>
        <v>12.118132292769898</v>
      </c>
      <c r="AC34" s="63">
        <f t="shared" ca="1" si="49"/>
        <v>2.7666535957508218</v>
      </c>
      <c r="AD34" s="63">
        <f t="shared" ca="1" si="50"/>
        <v>4.0837124197593759</v>
      </c>
      <c r="AE34" s="63">
        <f t="shared" ca="1" si="86"/>
        <v>2.7666535957508218</v>
      </c>
      <c r="AF34" s="63">
        <f t="shared" ca="1" si="51"/>
        <v>2.5633986933428377</v>
      </c>
      <c r="AG34" s="63">
        <f t="shared" ca="1" si="52"/>
        <v>5.1267973866856753</v>
      </c>
      <c r="AH34" s="63">
        <f t="shared" ca="1" si="87"/>
        <v>1.2816993466714188</v>
      </c>
      <c r="AI34" s="63">
        <f t="shared" ca="1" si="53"/>
        <v>3.9555032682719893</v>
      </c>
      <c r="AJ34" s="63">
        <f t="shared" ca="1" si="54"/>
        <v>4.7166535957508211</v>
      </c>
      <c r="AK34" s="63">
        <f t="shared" ca="1" si="55"/>
        <v>2.3583267978754106</v>
      </c>
      <c r="AL34" s="63">
        <f t="shared" ca="1" si="56"/>
        <v>2.1190196080028514</v>
      </c>
      <c r="AM34" s="63">
        <f t="shared" ca="1" si="57"/>
        <v>2.6659346410765514</v>
      </c>
      <c r="AN34" s="63">
        <f t="shared" ca="1" si="58"/>
        <v>2.4095947717422672</v>
      </c>
      <c r="AO34" s="63">
        <f t="shared" ca="1" si="59"/>
        <v>1.4355032682719893</v>
      </c>
      <c r="AP34" s="63">
        <f t="shared" ca="1" si="60"/>
        <v>6.2157908501416967</v>
      </c>
      <c r="AQ34" s="63">
        <f t="shared" ca="1" si="61"/>
        <v>7.0779215696176783</v>
      </c>
      <c r="AR34" s="63">
        <f t="shared" ca="1" si="62"/>
        <v>1.6126797386685678</v>
      </c>
      <c r="AS34" s="63">
        <f t="shared" ca="1" si="63"/>
        <v>1.4355032682719893</v>
      </c>
      <c r="AT34" s="63">
        <f t="shared" ca="1" si="64"/>
        <v>3.2298823536119756</v>
      </c>
      <c r="AU34" s="63">
        <f t="shared" ca="1" si="65"/>
        <v>0.71775163413599463</v>
      </c>
      <c r="AV34" s="63">
        <f t="shared" ca="1" si="66"/>
        <v>13.420457517351391</v>
      </c>
      <c r="AW34" s="63">
        <f t="shared" ca="1" si="67"/>
        <v>2.4190196080028517</v>
      </c>
      <c r="AX34" s="63">
        <f t="shared" ca="1" si="68"/>
        <v>3.8704313728045623</v>
      </c>
      <c r="AY34" s="63">
        <f t="shared" ca="1" si="69"/>
        <v>1.2901437909348541</v>
      </c>
      <c r="AZ34" s="63">
        <f t="shared" ca="1" si="70"/>
        <v>1.0766274512039917</v>
      </c>
      <c r="BA34" s="63">
        <f t="shared" ca="1" si="71"/>
        <v>1.7431111114731297</v>
      </c>
      <c r="BB34" s="63">
        <f t="shared" ca="1" si="72"/>
        <v>12.714117648017108</v>
      </c>
      <c r="BC34" s="63">
        <f t="shared" ca="1" si="73"/>
        <v>7.3277777786828242</v>
      </c>
      <c r="BD34" s="63">
        <f t="shared" ca="1" si="74"/>
        <v>3.8704313728045623</v>
      </c>
      <c r="BE34" s="63">
        <f t="shared" ca="1" si="75"/>
        <v>0.92282352960342151</v>
      </c>
      <c r="BF34" s="63">
        <f t="shared" ca="1" si="76"/>
        <v>0.51267973866856753</v>
      </c>
      <c r="BG34" s="63">
        <f t="shared" ca="1" si="88"/>
        <v>6.2157908501416967</v>
      </c>
      <c r="BH34" s="63">
        <f t="shared" ca="1" si="77"/>
        <v>9.4810326810908094</v>
      </c>
      <c r="BI34" s="63">
        <f t="shared" ca="1" si="78"/>
        <v>2.5802875818697082</v>
      </c>
      <c r="BJ34" s="63">
        <f t="shared" ca="1" si="79"/>
        <v>6.3570588240085542</v>
      </c>
      <c r="BK34" s="63">
        <f t="shared" ca="1" si="80"/>
        <v>5.7321307194759816</v>
      </c>
      <c r="BL34" s="63">
        <f t="shared" ca="1" si="81"/>
        <v>15.743281046954813</v>
      </c>
      <c r="BM34" s="63">
        <f t="shared" ca="1" si="89"/>
        <v>5.7321307194759816</v>
      </c>
      <c r="BN34" s="63">
        <f t="shared" ca="1" si="82"/>
        <v>5.9297385626771213</v>
      </c>
      <c r="BO34" s="63">
        <f t="shared" ca="1" si="83"/>
        <v>17.609908498158806</v>
      </c>
      <c r="BP34" s="63">
        <f t="shared" ca="1" si="90"/>
        <v>5.9297385626771213</v>
      </c>
    </row>
    <row r="35" spans="12:68" x14ac:dyDescent="0.25">
      <c r="L35" s="582"/>
      <c r="M35" s="582"/>
      <c r="N35" s="582">
        <v>6</v>
      </c>
      <c r="O35" s="582">
        <v>7</v>
      </c>
      <c r="P35" s="582"/>
      <c r="Q35" s="597">
        <v>0</v>
      </c>
      <c r="R35" s="593">
        <v>3</v>
      </c>
      <c r="S35" s="592">
        <v>12</v>
      </c>
      <c r="T35" s="593">
        <v>3</v>
      </c>
      <c r="U35" s="592">
        <v>14</v>
      </c>
      <c r="V35" s="593">
        <v>10</v>
      </c>
      <c r="W35" s="592">
        <v>10</v>
      </c>
      <c r="X35" s="60">
        <f t="shared" si="39"/>
        <v>4.25</v>
      </c>
      <c r="Y35" s="60">
        <f t="shared" si="84"/>
        <v>0.8</v>
      </c>
      <c r="Z35" s="60">
        <f t="shared" si="85"/>
        <v>0.42000000000000004</v>
      </c>
      <c r="AA35" s="60">
        <f t="shared" ca="1" si="47"/>
        <v>11.227232766462848</v>
      </c>
      <c r="AB35" s="60">
        <f t="shared" ca="1" si="48"/>
        <v>12.118132292769898</v>
      </c>
      <c r="AC35" s="63">
        <f t="shared" ca="1" si="49"/>
        <v>2.7666535957508218</v>
      </c>
      <c r="AD35" s="63">
        <f t="shared" ca="1" si="50"/>
        <v>4.0837124197593759</v>
      </c>
      <c r="AE35" s="63">
        <f t="shared" ca="1" si="86"/>
        <v>2.7666535957508218</v>
      </c>
      <c r="AF35" s="63">
        <f t="shared" ca="1" si="51"/>
        <v>2.5633986933428377</v>
      </c>
      <c r="AG35" s="63">
        <f t="shared" ca="1" si="52"/>
        <v>5.1267973866856753</v>
      </c>
      <c r="AH35" s="63">
        <f t="shared" ca="1" si="87"/>
        <v>1.2816993466714188</v>
      </c>
      <c r="AI35" s="63">
        <f t="shared" ca="1" si="53"/>
        <v>3.9555032682719893</v>
      </c>
      <c r="AJ35" s="63">
        <f t="shared" ca="1" si="54"/>
        <v>4.7166535957508211</v>
      </c>
      <c r="AK35" s="63">
        <f t="shared" ca="1" si="55"/>
        <v>2.3583267978754106</v>
      </c>
      <c r="AL35" s="63">
        <f t="shared" ca="1" si="56"/>
        <v>2.1190196080028514</v>
      </c>
      <c r="AM35" s="63">
        <f t="shared" ca="1" si="57"/>
        <v>2.6659346410765514</v>
      </c>
      <c r="AN35" s="63">
        <f t="shared" ca="1" si="58"/>
        <v>2.4095947717422672</v>
      </c>
      <c r="AO35" s="63">
        <f t="shared" ca="1" si="59"/>
        <v>1.4355032682719893</v>
      </c>
      <c r="AP35" s="63">
        <f t="shared" ca="1" si="60"/>
        <v>6.2157908501416967</v>
      </c>
      <c r="AQ35" s="63">
        <f t="shared" ca="1" si="61"/>
        <v>7.0779215696176783</v>
      </c>
      <c r="AR35" s="63">
        <f t="shared" ca="1" si="62"/>
        <v>1.6126797386685678</v>
      </c>
      <c r="AS35" s="63">
        <f t="shared" ca="1" si="63"/>
        <v>1.4355032682719893</v>
      </c>
      <c r="AT35" s="63">
        <f t="shared" ca="1" si="64"/>
        <v>3.2298823536119756</v>
      </c>
      <c r="AU35" s="63">
        <f t="shared" ca="1" si="65"/>
        <v>0.71775163413599463</v>
      </c>
      <c r="AV35" s="63">
        <f t="shared" ca="1" si="66"/>
        <v>13.420457517351391</v>
      </c>
      <c r="AW35" s="63">
        <f t="shared" ca="1" si="67"/>
        <v>2.4190196080028517</v>
      </c>
      <c r="AX35" s="63">
        <f t="shared" ca="1" si="68"/>
        <v>3.8704313728045623</v>
      </c>
      <c r="AY35" s="63">
        <f t="shared" ca="1" si="69"/>
        <v>1.2901437909348541</v>
      </c>
      <c r="AZ35" s="63">
        <f t="shared" ca="1" si="70"/>
        <v>1.0766274512039917</v>
      </c>
      <c r="BA35" s="63">
        <f t="shared" ca="1" si="71"/>
        <v>1.7431111114731297</v>
      </c>
      <c r="BB35" s="63">
        <f t="shared" ca="1" si="72"/>
        <v>12.714117648017108</v>
      </c>
      <c r="BC35" s="63">
        <f t="shared" ca="1" si="73"/>
        <v>7.3277777786828242</v>
      </c>
      <c r="BD35" s="63">
        <f t="shared" ca="1" si="74"/>
        <v>3.8704313728045623</v>
      </c>
      <c r="BE35" s="63">
        <f t="shared" ca="1" si="75"/>
        <v>0.92282352960342151</v>
      </c>
      <c r="BF35" s="63">
        <f t="shared" ca="1" si="76"/>
        <v>0.51267973866856753</v>
      </c>
      <c r="BG35" s="63">
        <f t="shared" ca="1" si="88"/>
        <v>6.2157908501416967</v>
      </c>
      <c r="BH35" s="63">
        <f t="shared" ca="1" si="77"/>
        <v>9.4810326810908094</v>
      </c>
      <c r="BI35" s="63">
        <f t="shared" ca="1" si="78"/>
        <v>2.5802875818697082</v>
      </c>
      <c r="BJ35" s="63">
        <f t="shared" ca="1" si="79"/>
        <v>6.3570588240085542</v>
      </c>
      <c r="BK35" s="63">
        <f t="shared" ca="1" si="80"/>
        <v>5.7321307194759816</v>
      </c>
      <c r="BL35" s="63">
        <f t="shared" ca="1" si="81"/>
        <v>15.743281046954813</v>
      </c>
      <c r="BM35" s="63">
        <f t="shared" ca="1" si="89"/>
        <v>5.7321307194759816</v>
      </c>
      <c r="BN35" s="63">
        <f t="shared" ca="1" si="82"/>
        <v>5.9297385626771213</v>
      </c>
      <c r="BO35" s="63">
        <f t="shared" ca="1" si="83"/>
        <v>17.609908498158806</v>
      </c>
      <c r="BP35" s="63">
        <f t="shared" ca="1" si="90"/>
        <v>5.9297385626771213</v>
      </c>
    </row>
    <row r="36" spans="12:68" x14ac:dyDescent="0.25">
      <c r="L36" s="582"/>
      <c r="M36" s="582"/>
      <c r="N36" s="582">
        <v>6</v>
      </c>
      <c r="O36" s="582">
        <v>7</v>
      </c>
      <c r="P36" s="582"/>
      <c r="Q36" s="597">
        <v>0</v>
      </c>
      <c r="R36" s="593">
        <v>3</v>
      </c>
      <c r="S36" s="592">
        <v>12</v>
      </c>
      <c r="T36" s="593">
        <v>3</v>
      </c>
      <c r="U36" s="592">
        <v>14</v>
      </c>
      <c r="V36" s="593">
        <v>10</v>
      </c>
      <c r="W36" s="592">
        <v>10</v>
      </c>
      <c r="X36" s="60">
        <f t="shared" si="39"/>
        <v>4.25</v>
      </c>
      <c r="Y36" s="60">
        <f t="shared" si="84"/>
        <v>0.8</v>
      </c>
      <c r="Z36" s="60">
        <f t="shared" si="85"/>
        <v>0.42000000000000004</v>
      </c>
      <c r="AA36" s="60">
        <f t="shared" ca="1" si="47"/>
        <v>11.227232766462848</v>
      </c>
      <c r="AB36" s="60">
        <f t="shared" ca="1" si="48"/>
        <v>12.118132292769898</v>
      </c>
      <c r="AC36" s="63">
        <f t="shared" ca="1" si="49"/>
        <v>2.7666535957508218</v>
      </c>
      <c r="AD36" s="63">
        <f t="shared" ca="1" si="50"/>
        <v>4.0837124197593759</v>
      </c>
      <c r="AE36" s="63">
        <f t="shared" ca="1" si="86"/>
        <v>2.7666535957508218</v>
      </c>
      <c r="AF36" s="63">
        <f t="shared" ca="1" si="51"/>
        <v>2.5633986933428377</v>
      </c>
      <c r="AG36" s="63">
        <f t="shared" ca="1" si="52"/>
        <v>5.1267973866856753</v>
      </c>
      <c r="AH36" s="63">
        <f t="shared" ca="1" si="87"/>
        <v>1.2816993466714188</v>
      </c>
      <c r="AI36" s="63">
        <f t="shared" ca="1" si="53"/>
        <v>3.9555032682719893</v>
      </c>
      <c r="AJ36" s="63">
        <f t="shared" ca="1" si="54"/>
        <v>4.7166535957508211</v>
      </c>
      <c r="AK36" s="63">
        <f t="shared" ca="1" si="55"/>
        <v>2.3583267978754106</v>
      </c>
      <c r="AL36" s="63">
        <f t="shared" ca="1" si="56"/>
        <v>2.1190196080028514</v>
      </c>
      <c r="AM36" s="63">
        <f t="shared" ca="1" si="57"/>
        <v>2.6659346410765514</v>
      </c>
      <c r="AN36" s="63">
        <f t="shared" ca="1" si="58"/>
        <v>2.4095947717422672</v>
      </c>
      <c r="AO36" s="63">
        <f t="shared" ca="1" si="59"/>
        <v>1.4355032682719893</v>
      </c>
      <c r="AP36" s="63">
        <f t="shared" ca="1" si="60"/>
        <v>6.2157908501416967</v>
      </c>
      <c r="AQ36" s="63">
        <f t="shared" ca="1" si="61"/>
        <v>7.0779215696176783</v>
      </c>
      <c r="AR36" s="63">
        <f t="shared" ca="1" si="62"/>
        <v>1.6126797386685678</v>
      </c>
      <c r="AS36" s="63">
        <f t="shared" ca="1" si="63"/>
        <v>1.4355032682719893</v>
      </c>
      <c r="AT36" s="63">
        <f t="shared" ca="1" si="64"/>
        <v>3.2298823536119756</v>
      </c>
      <c r="AU36" s="63">
        <f t="shared" ca="1" si="65"/>
        <v>0.71775163413599463</v>
      </c>
      <c r="AV36" s="63">
        <f t="shared" ca="1" si="66"/>
        <v>13.420457517351391</v>
      </c>
      <c r="AW36" s="63">
        <f t="shared" ca="1" si="67"/>
        <v>2.4190196080028517</v>
      </c>
      <c r="AX36" s="63">
        <f t="shared" ca="1" si="68"/>
        <v>3.8704313728045623</v>
      </c>
      <c r="AY36" s="63">
        <f t="shared" ca="1" si="69"/>
        <v>1.2901437909348541</v>
      </c>
      <c r="AZ36" s="63">
        <f t="shared" ca="1" si="70"/>
        <v>1.0766274512039917</v>
      </c>
      <c r="BA36" s="63">
        <f t="shared" ca="1" si="71"/>
        <v>1.7431111114731297</v>
      </c>
      <c r="BB36" s="63">
        <f t="shared" ca="1" si="72"/>
        <v>12.714117648017108</v>
      </c>
      <c r="BC36" s="63">
        <f t="shared" ca="1" si="73"/>
        <v>7.3277777786828242</v>
      </c>
      <c r="BD36" s="63">
        <f t="shared" ca="1" si="74"/>
        <v>3.8704313728045623</v>
      </c>
      <c r="BE36" s="63">
        <f t="shared" ca="1" si="75"/>
        <v>0.92282352960342151</v>
      </c>
      <c r="BF36" s="63">
        <f t="shared" ca="1" si="76"/>
        <v>0.51267973866856753</v>
      </c>
      <c r="BG36" s="63">
        <f t="shared" ca="1" si="88"/>
        <v>6.2157908501416967</v>
      </c>
      <c r="BH36" s="63">
        <f t="shared" ca="1" si="77"/>
        <v>9.4810326810908094</v>
      </c>
      <c r="BI36" s="63">
        <f t="shared" ca="1" si="78"/>
        <v>2.5802875818697082</v>
      </c>
      <c r="BJ36" s="63">
        <f t="shared" ca="1" si="79"/>
        <v>6.3570588240085542</v>
      </c>
      <c r="BK36" s="63">
        <f t="shared" ca="1" si="80"/>
        <v>5.7321307194759816</v>
      </c>
      <c r="BL36" s="63">
        <f t="shared" ca="1" si="81"/>
        <v>15.743281046954813</v>
      </c>
      <c r="BM36" s="63">
        <f t="shared" ca="1" si="89"/>
        <v>5.7321307194759816</v>
      </c>
      <c r="BN36" s="63">
        <f t="shared" ca="1" si="82"/>
        <v>5.9297385626771213</v>
      </c>
      <c r="BO36" s="63">
        <f t="shared" ca="1" si="83"/>
        <v>17.609908498158806</v>
      </c>
      <c r="BP36" s="63">
        <f t="shared" ca="1" si="90"/>
        <v>5.9297385626771213</v>
      </c>
    </row>
    <row r="37" spans="12:68" x14ac:dyDescent="0.25">
      <c r="L37" s="582"/>
      <c r="M37" s="582"/>
      <c r="N37" s="582">
        <v>6</v>
      </c>
      <c r="O37" s="582">
        <v>7</v>
      </c>
      <c r="P37" s="582"/>
      <c r="Q37" s="597">
        <v>0</v>
      </c>
      <c r="R37" s="593">
        <v>3</v>
      </c>
      <c r="S37" s="592">
        <v>12</v>
      </c>
      <c r="T37" s="593">
        <v>3</v>
      </c>
      <c r="U37" s="592">
        <v>14</v>
      </c>
      <c r="V37" s="593">
        <v>10</v>
      </c>
      <c r="W37" s="592">
        <v>10</v>
      </c>
      <c r="X37" s="60">
        <f t="shared" si="39"/>
        <v>4.25</v>
      </c>
      <c r="Y37" s="60">
        <f t="shared" si="84"/>
        <v>0.8</v>
      </c>
      <c r="Z37" s="60">
        <f t="shared" si="85"/>
        <v>0.42000000000000004</v>
      </c>
      <c r="AA37" s="60">
        <f t="shared" ca="1" si="47"/>
        <v>11.227232766462848</v>
      </c>
      <c r="AB37" s="60">
        <f t="shared" ca="1" si="48"/>
        <v>12.118132292769898</v>
      </c>
      <c r="AC37" s="63">
        <f t="shared" ca="1" si="49"/>
        <v>2.7666535957508218</v>
      </c>
      <c r="AD37" s="63">
        <f t="shared" ca="1" si="50"/>
        <v>4.0837124197593759</v>
      </c>
      <c r="AE37" s="63">
        <f t="shared" ca="1" si="86"/>
        <v>2.7666535957508218</v>
      </c>
      <c r="AF37" s="63">
        <f t="shared" ca="1" si="51"/>
        <v>2.5633986933428377</v>
      </c>
      <c r="AG37" s="63">
        <f t="shared" ca="1" si="52"/>
        <v>5.1267973866856753</v>
      </c>
      <c r="AH37" s="63">
        <f t="shared" ca="1" si="87"/>
        <v>1.2816993466714188</v>
      </c>
      <c r="AI37" s="63">
        <f t="shared" ca="1" si="53"/>
        <v>3.9555032682719893</v>
      </c>
      <c r="AJ37" s="63">
        <f t="shared" ca="1" si="54"/>
        <v>4.7166535957508211</v>
      </c>
      <c r="AK37" s="63">
        <f t="shared" ca="1" si="55"/>
        <v>2.3583267978754106</v>
      </c>
      <c r="AL37" s="63">
        <f t="shared" ca="1" si="56"/>
        <v>2.1190196080028514</v>
      </c>
      <c r="AM37" s="63">
        <f t="shared" ca="1" si="57"/>
        <v>2.6659346410765514</v>
      </c>
      <c r="AN37" s="63">
        <f t="shared" ca="1" si="58"/>
        <v>2.4095947717422672</v>
      </c>
      <c r="AO37" s="63">
        <f t="shared" ca="1" si="59"/>
        <v>1.4355032682719893</v>
      </c>
      <c r="AP37" s="63">
        <f t="shared" ca="1" si="60"/>
        <v>6.2157908501416967</v>
      </c>
      <c r="AQ37" s="63">
        <f t="shared" ca="1" si="61"/>
        <v>7.0779215696176783</v>
      </c>
      <c r="AR37" s="63">
        <f t="shared" ca="1" si="62"/>
        <v>1.6126797386685678</v>
      </c>
      <c r="AS37" s="63">
        <f t="shared" ca="1" si="63"/>
        <v>1.4355032682719893</v>
      </c>
      <c r="AT37" s="63">
        <f t="shared" ca="1" si="64"/>
        <v>3.2298823536119756</v>
      </c>
      <c r="AU37" s="63">
        <f t="shared" ca="1" si="65"/>
        <v>0.71775163413599463</v>
      </c>
      <c r="AV37" s="63">
        <f t="shared" ca="1" si="66"/>
        <v>13.420457517351391</v>
      </c>
      <c r="AW37" s="63">
        <f t="shared" ca="1" si="67"/>
        <v>2.4190196080028517</v>
      </c>
      <c r="AX37" s="63">
        <f t="shared" ca="1" si="68"/>
        <v>3.8704313728045623</v>
      </c>
      <c r="AY37" s="63">
        <f t="shared" ca="1" si="69"/>
        <v>1.2901437909348541</v>
      </c>
      <c r="AZ37" s="63">
        <f t="shared" ca="1" si="70"/>
        <v>1.0766274512039917</v>
      </c>
      <c r="BA37" s="63">
        <f t="shared" ca="1" si="71"/>
        <v>1.7431111114731297</v>
      </c>
      <c r="BB37" s="63">
        <f t="shared" ca="1" si="72"/>
        <v>12.714117648017108</v>
      </c>
      <c r="BC37" s="63">
        <f t="shared" ca="1" si="73"/>
        <v>7.3277777786828242</v>
      </c>
      <c r="BD37" s="63">
        <f t="shared" ca="1" si="74"/>
        <v>3.8704313728045623</v>
      </c>
      <c r="BE37" s="63">
        <f t="shared" ca="1" si="75"/>
        <v>0.92282352960342151</v>
      </c>
      <c r="BF37" s="63">
        <f t="shared" ca="1" si="76"/>
        <v>0.51267973866856753</v>
      </c>
      <c r="BG37" s="63">
        <f t="shared" ca="1" si="88"/>
        <v>6.2157908501416967</v>
      </c>
      <c r="BH37" s="63">
        <f t="shared" ca="1" si="77"/>
        <v>9.4810326810908094</v>
      </c>
      <c r="BI37" s="63">
        <f t="shared" ca="1" si="78"/>
        <v>2.5802875818697082</v>
      </c>
      <c r="BJ37" s="63">
        <f t="shared" ca="1" si="79"/>
        <v>6.3570588240085542</v>
      </c>
      <c r="BK37" s="63">
        <f t="shared" ca="1" si="80"/>
        <v>5.7321307194759816</v>
      </c>
      <c r="BL37" s="63">
        <f t="shared" ca="1" si="81"/>
        <v>15.743281046954813</v>
      </c>
      <c r="BM37" s="63">
        <f t="shared" ca="1" si="89"/>
        <v>5.7321307194759816</v>
      </c>
      <c r="BN37" s="63">
        <f t="shared" ca="1" si="82"/>
        <v>5.9297385626771213</v>
      </c>
      <c r="BO37" s="63">
        <f t="shared" ca="1" si="83"/>
        <v>17.609908498158806</v>
      </c>
      <c r="BP37" s="63">
        <f t="shared" ca="1" si="90"/>
        <v>5.9297385626771213</v>
      </c>
    </row>
    <row r="38" spans="12:68" x14ac:dyDescent="0.25">
      <c r="L38" s="582"/>
      <c r="M38" s="582"/>
      <c r="N38" s="582"/>
      <c r="O38" s="582"/>
      <c r="P38" s="582"/>
      <c r="Q38" s="582"/>
      <c r="R38" s="582"/>
      <c r="S38" s="582"/>
      <c r="T38" s="582"/>
      <c r="U38" s="582"/>
      <c r="V38" s="582"/>
      <c r="W38" s="582"/>
      <c r="X38" s="582"/>
      <c r="Y38" s="582"/>
      <c r="Z38" s="582"/>
      <c r="AA38" s="582"/>
      <c r="AB38" s="582"/>
    </row>
    <row r="39" spans="12:68" x14ac:dyDescent="0.25">
      <c r="L39" s="582"/>
      <c r="M39" s="582"/>
      <c r="N39" s="582"/>
      <c r="O39" s="582"/>
      <c r="P39" s="582"/>
      <c r="Q39" s="582"/>
      <c r="R39" s="582"/>
      <c r="S39" s="582"/>
      <c r="T39" s="582"/>
      <c r="U39" s="582"/>
      <c r="V39" s="582"/>
      <c r="W39" s="582"/>
      <c r="X39" s="582"/>
      <c r="Y39" s="582"/>
      <c r="Z39" s="582"/>
      <c r="AA39" s="582"/>
      <c r="AB39" s="582"/>
    </row>
    <row r="40" spans="12:68" x14ac:dyDescent="0.25">
      <c r="L40" s="582"/>
      <c r="M40" s="582"/>
      <c r="N40" s="582"/>
      <c r="O40" s="582"/>
      <c r="P40" s="582"/>
      <c r="Q40" s="582"/>
      <c r="R40" s="582"/>
      <c r="S40" s="582"/>
      <c r="T40" s="582"/>
      <c r="U40" s="582"/>
      <c r="V40" s="582"/>
      <c r="W40" s="582"/>
      <c r="X40" s="582"/>
      <c r="Y40" s="582"/>
      <c r="Z40" s="582"/>
      <c r="AA40" s="582"/>
      <c r="AB40" s="582"/>
    </row>
    <row r="41" spans="12:68" x14ac:dyDescent="0.25">
      <c r="L41" s="582"/>
      <c r="M41" s="582"/>
      <c r="N41" s="582"/>
      <c r="O41" s="582"/>
      <c r="P41" s="582"/>
      <c r="Q41" s="582"/>
      <c r="R41" s="582"/>
      <c r="S41" s="582"/>
      <c r="T41" s="582"/>
      <c r="U41" s="582"/>
      <c r="V41" s="582"/>
      <c r="W41" s="582"/>
      <c r="X41" s="582"/>
      <c r="Y41" s="582"/>
      <c r="Z41" s="582"/>
      <c r="AA41" s="582"/>
      <c r="AB41" s="582"/>
    </row>
    <row r="42" spans="12:68" x14ac:dyDescent="0.25">
      <c r="L42" s="582"/>
      <c r="M42" s="582"/>
      <c r="N42" s="582"/>
      <c r="O42" s="582"/>
      <c r="P42" s="582"/>
      <c r="Q42" s="582"/>
      <c r="R42" s="582"/>
      <c r="S42" s="582"/>
      <c r="T42" s="582"/>
      <c r="U42" s="582"/>
      <c r="V42" s="582"/>
      <c r="W42" s="582"/>
      <c r="X42" s="582"/>
      <c r="Y42" s="582"/>
      <c r="Z42" s="582"/>
      <c r="AA42" s="582"/>
      <c r="AB42" s="582"/>
    </row>
  </sheetData>
  <conditionalFormatting sqref="F3:F18">
    <cfRule type="cellIs" dxfId="298" priority="572" operator="lessThan">
      <formula>-600000</formula>
    </cfRule>
    <cfRule type="cellIs" dxfId="297" priority="573" operator="greaterThan">
      <formula>-600000</formula>
    </cfRule>
  </conditionalFormatting>
  <conditionalFormatting sqref="L3:L18">
    <cfRule type="cellIs" dxfId="296" priority="571" operator="greaterThan">
      <formula>5</formula>
    </cfRule>
  </conditionalFormatting>
  <conditionalFormatting sqref="M3:M18">
    <cfRule type="cellIs" dxfId="295" priority="570" operator="lessThan">
      <formula>85</formula>
    </cfRule>
  </conditionalFormatting>
  <conditionalFormatting sqref="AA3:AB18">
    <cfRule type="cellIs" dxfId="294" priority="569" operator="greaterThan">
      <formula>15</formula>
    </cfRule>
  </conditionalFormatting>
  <conditionalFormatting sqref="X3:X18">
    <cfRule type="cellIs" dxfId="293" priority="568" operator="greaterThan">
      <formula>3.2</formula>
    </cfRule>
  </conditionalFormatting>
  <conditionalFormatting sqref="Y3:Z18">
    <cfRule type="cellIs" dxfId="292" priority="567" operator="greaterThan">
      <formula>0.6</formula>
    </cfRule>
  </conditionalFormatting>
  <conditionalFormatting sqref="AC3:AH18 AJ3:AK18 AN3:AO18 AS3:AU18 AZ3:AZ18 BE3:BF18">
    <cfRule type="cellIs" dxfId="291" priority="566" operator="greaterThan">
      <formula>12.5</formula>
    </cfRule>
  </conditionalFormatting>
  <conditionalFormatting sqref="AI3:AI18 AP3:AP18 AV3:AV18 BB3:BB18 BG3:BG18 BJ3:BJ18">
    <cfRule type="cellIs" dxfId="290" priority="565" operator="greaterThan">
      <formula>12.5</formula>
    </cfRule>
  </conditionalFormatting>
  <conditionalFormatting sqref="BK3:BP18 BH3:BI18 BC3:BD18 AW3:AY18 AQ3:AR18 AM3:AM18">
    <cfRule type="cellIs" dxfId="289" priority="564" operator="greaterThan">
      <formula>12.5</formula>
    </cfRule>
  </conditionalFormatting>
  <conditionalFormatting sqref="O3:O18">
    <cfRule type="cellIs" dxfId="288" priority="563" operator="greaterThan">
      <formula>7</formula>
    </cfRule>
  </conditionalFormatting>
  <conditionalFormatting sqref="Q3:W18">
    <cfRule type="colorScale" priority="574">
      <colorScale>
        <cfvo type="min"/>
        <cfvo type="max"/>
        <color rgb="FFFCFCFF"/>
        <color rgb="FFF8696B"/>
      </colorScale>
    </cfRule>
  </conditionalFormatting>
  <conditionalFormatting sqref="AA20:AB37">
    <cfRule type="cellIs" dxfId="287" priority="562" operator="greaterThan">
      <formula>15</formula>
    </cfRule>
  </conditionalFormatting>
  <conditionalFormatting sqref="Y20:Z37">
    <cfRule type="cellIs" dxfId="286" priority="561" operator="greaterThan">
      <formula>0.6</formula>
    </cfRule>
  </conditionalFormatting>
  <conditionalFormatting sqref="AC20:AH37 AJ20:AK37 AN20:AO37 AS20:AU37 AZ20:AZ37 BE20:BF37">
    <cfRule type="cellIs" dxfId="285" priority="560" operator="greaterThan">
      <formula>12.5</formula>
    </cfRule>
  </conditionalFormatting>
  <conditionalFormatting sqref="AI20:AI37 AP20:AP37 AV20:AV37 BB20:BB37 BG20:BG37 BJ20:BJ37">
    <cfRule type="cellIs" dxfId="284" priority="559" operator="greaterThan">
      <formula>12.5</formula>
    </cfRule>
  </conditionalFormatting>
  <conditionalFormatting sqref="BK20:BP37 BH20:BI37 BC20:BD37 AW20:AY37 AQ20:AR37 AM20:AM37">
    <cfRule type="cellIs" dxfId="283" priority="558" operator="greaterThan">
      <formula>12.5</formula>
    </cfRule>
  </conditionalFormatting>
  <conditionalFormatting sqref="Q20:W21 Q24:W28 Q31:W35">
    <cfRule type="cellIs" dxfId="282" priority="556" operator="greaterThan">
      <formula>7.5</formula>
    </cfRule>
    <cfRule type="colorScale" priority="557">
      <colorScale>
        <cfvo type="min"/>
        <cfvo type="max"/>
        <color rgb="FFFFEF9C"/>
        <color rgb="FF63BE7B"/>
      </colorScale>
    </cfRule>
  </conditionalFormatting>
  <conditionalFormatting sqref="Q32:W35">
    <cfRule type="cellIs" dxfId="281" priority="554" operator="greaterThan">
      <formula>7.5</formula>
    </cfRule>
    <cfRule type="colorScale" priority="555">
      <colorScale>
        <cfvo type="min"/>
        <cfvo type="max"/>
        <color rgb="FFFFEF9C"/>
        <color rgb="FF63BE7B"/>
      </colorScale>
    </cfRule>
  </conditionalFormatting>
  <conditionalFormatting sqref="Q22:W22">
    <cfRule type="cellIs" dxfId="280" priority="552" operator="greaterThan">
      <formula>7.5</formula>
    </cfRule>
    <cfRule type="colorScale" priority="553">
      <colorScale>
        <cfvo type="min"/>
        <cfvo type="max"/>
        <color rgb="FFFFEF9C"/>
        <color rgb="FF63BE7B"/>
      </colorScale>
    </cfRule>
  </conditionalFormatting>
  <conditionalFormatting sqref="Q24:W24">
    <cfRule type="cellIs" dxfId="279" priority="550" operator="greaterThan">
      <formula>7.5</formula>
    </cfRule>
    <cfRule type="colorScale" priority="551">
      <colorScale>
        <cfvo type="min"/>
        <cfvo type="max"/>
        <color rgb="FFFFEF9C"/>
        <color rgb="FF63BE7B"/>
      </colorScale>
    </cfRule>
  </conditionalFormatting>
  <conditionalFormatting sqref="Q34:W34">
    <cfRule type="cellIs" dxfId="278" priority="548" operator="greaterThan">
      <formula>7.5</formula>
    </cfRule>
    <cfRule type="colorScale" priority="549">
      <colorScale>
        <cfvo type="min"/>
        <cfvo type="max"/>
        <color rgb="FFFFEF9C"/>
        <color rgb="FF63BE7B"/>
      </colorScale>
    </cfRule>
  </conditionalFormatting>
  <conditionalFormatting sqref="Q34:W34">
    <cfRule type="cellIs" dxfId="277" priority="546" operator="greaterThan">
      <formula>7.5</formula>
    </cfRule>
    <cfRule type="colorScale" priority="547">
      <colorScale>
        <cfvo type="min"/>
        <cfvo type="max"/>
        <color rgb="FFFFEF9C"/>
        <color rgb="FF63BE7B"/>
      </colorScale>
    </cfRule>
  </conditionalFormatting>
  <conditionalFormatting sqref="Q33:W33">
    <cfRule type="cellIs" dxfId="276" priority="544" operator="greaterThan">
      <formula>7.5</formula>
    </cfRule>
    <cfRule type="colorScale" priority="545">
      <colorScale>
        <cfvo type="min"/>
        <cfvo type="max"/>
        <color rgb="FFFFEF9C"/>
        <color rgb="FF63BE7B"/>
      </colorScale>
    </cfRule>
  </conditionalFormatting>
  <conditionalFormatting sqref="Q33:W33">
    <cfRule type="cellIs" dxfId="275" priority="542" operator="greaterThan">
      <formula>7.5</formula>
    </cfRule>
    <cfRule type="colorScale" priority="543">
      <colorScale>
        <cfvo type="min"/>
        <cfvo type="max"/>
        <color rgb="FFFFEF9C"/>
        <color rgb="FF63BE7B"/>
      </colorScale>
    </cfRule>
  </conditionalFormatting>
  <conditionalFormatting sqref="Q35:W35">
    <cfRule type="cellIs" dxfId="274" priority="540" operator="greaterThan">
      <formula>7.5</formula>
    </cfRule>
    <cfRule type="colorScale" priority="541">
      <colorScale>
        <cfvo type="min"/>
        <cfvo type="max"/>
        <color rgb="FFFFEF9C"/>
        <color rgb="FF63BE7B"/>
      </colorScale>
    </cfRule>
  </conditionalFormatting>
  <conditionalFormatting sqref="Q35:W35">
    <cfRule type="cellIs" dxfId="273" priority="538" operator="greaterThan">
      <formula>7.5</formula>
    </cfRule>
    <cfRule type="colorScale" priority="539">
      <colorScale>
        <cfvo type="min"/>
        <cfvo type="max"/>
        <color rgb="FFFFEF9C"/>
        <color rgb="FF63BE7B"/>
      </colorScale>
    </cfRule>
  </conditionalFormatting>
  <conditionalFormatting sqref="Q33:W33">
    <cfRule type="cellIs" dxfId="272" priority="536" operator="greaterThan">
      <formula>7.5</formula>
    </cfRule>
    <cfRule type="colorScale" priority="537">
      <colorScale>
        <cfvo type="min"/>
        <cfvo type="max"/>
        <color rgb="FFFFEF9C"/>
        <color rgb="FF63BE7B"/>
      </colorScale>
    </cfRule>
  </conditionalFormatting>
  <conditionalFormatting sqref="Q33:W33">
    <cfRule type="cellIs" dxfId="271" priority="534" operator="greaterThan">
      <formula>7.5</formula>
    </cfRule>
    <cfRule type="colorScale" priority="535">
      <colorScale>
        <cfvo type="min"/>
        <cfvo type="max"/>
        <color rgb="FFFFEF9C"/>
        <color rgb="FF63BE7B"/>
      </colorScale>
    </cfRule>
  </conditionalFormatting>
  <conditionalFormatting sqref="Q34:W34">
    <cfRule type="cellIs" dxfId="270" priority="532" operator="greaterThan">
      <formula>7.5</formula>
    </cfRule>
    <cfRule type="colorScale" priority="533">
      <colorScale>
        <cfvo type="min"/>
        <cfvo type="max"/>
        <color rgb="FFFFEF9C"/>
        <color rgb="FF63BE7B"/>
      </colorScale>
    </cfRule>
  </conditionalFormatting>
  <conditionalFormatting sqref="Q34:W34">
    <cfRule type="cellIs" dxfId="269" priority="530" operator="greaterThan">
      <formula>7.5</formula>
    </cfRule>
    <cfRule type="colorScale" priority="531">
      <colorScale>
        <cfvo type="min"/>
        <cfvo type="max"/>
        <color rgb="FFFFEF9C"/>
        <color rgb="FF63BE7B"/>
      </colorScale>
    </cfRule>
  </conditionalFormatting>
  <conditionalFormatting sqref="Q35:W35">
    <cfRule type="cellIs" dxfId="268" priority="528" operator="greaterThan">
      <formula>7.5</formula>
    </cfRule>
    <cfRule type="colorScale" priority="529">
      <colorScale>
        <cfvo type="min"/>
        <cfvo type="max"/>
        <color rgb="FFFFEF9C"/>
        <color rgb="FF63BE7B"/>
      </colorScale>
    </cfRule>
  </conditionalFormatting>
  <conditionalFormatting sqref="Q35:W35">
    <cfRule type="cellIs" dxfId="267" priority="526" operator="greaterThan">
      <formula>7.5</formula>
    </cfRule>
    <cfRule type="colorScale" priority="527">
      <colorScale>
        <cfvo type="min"/>
        <cfvo type="max"/>
        <color rgb="FFFFEF9C"/>
        <color rgb="FF63BE7B"/>
      </colorScale>
    </cfRule>
  </conditionalFormatting>
  <conditionalFormatting sqref="Q33:W33">
    <cfRule type="cellIs" dxfId="266" priority="524" operator="greaterThan">
      <formula>7.5</formula>
    </cfRule>
    <cfRule type="colorScale" priority="525">
      <colorScale>
        <cfvo type="min"/>
        <cfvo type="max"/>
        <color rgb="FFFFEF9C"/>
        <color rgb="FF63BE7B"/>
      </colorScale>
    </cfRule>
  </conditionalFormatting>
  <conditionalFormatting sqref="Q35:W35">
    <cfRule type="cellIs" dxfId="265" priority="522" operator="greaterThan">
      <formula>7.5</formula>
    </cfRule>
    <cfRule type="colorScale" priority="523">
      <colorScale>
        <cfvo type="min"/>
        <cfvo type="max"/>
        <color rgb="FFFFEF9C"/>
        <color rgb="FF63BE7B"/>
      </colorScale>
    </cfRule>
  </conditionalFormatting>
  <conditionalFormatting sqref="Q35:W35">
    <cfRule type="cellIs" dxfId="264" priority="520" operator="greaterThan">
      <formula>7.5</formula>
    </cfRule>
    <cfRule type="colorScale" priority="521">
      <colorScale>
        <cfvo type="min"/>
        <cfvo type="max"/>
        <color rgb="FFFFEF9C"/>
        <color rgb="FF63BE7B"/>
      </colorScale>
    </cfRule>
  </conditionalFormatting>
  <conditionalFormatting sqref="Q34:W34">
    <cfRule type="cellIs" dxfId="263" priority="518" operator="greaterThan">
      <formula>7.5</formula>
    </cfRule>
    <cfRule type="colorScale" priority="519">
      <colorScale>
        <cfvo type="min"/>
        <cfvo type="max"/>
        <color rgb="FFFFEF9C"/>
        <color rgb="FF63BE7B"/>
      </colorScale>
    </cfRule>
  </conditionalFormatting>
  <conditionalFormatting sqref="Q34:W34">
    <cfRule type="cellIs" dxfId="262" priority="516" operator="greaterThan">
      <formula>7.5</formula>
    </cfRule>
    <cfRule type="colorScale" priority="517">
      <colorScale>
        <cfvo type="min"/>
        <cfvo type="max"/>
        <color rgb="FFFFEF9C"/>
        <color rgb="FF63BE7B"/>
      </colorScale>
    </cfRule>
  </conditionalFormatting>
  <conditionalFormatting sqref="Q34:W34">
    <cfRule type="cellIs" dxfId="261" priority="514" operator="greaterThan">
      <formula>7.5</formula>
    </cfRule>
    <cfRule type="colorScale" priority="515">
      <colorScale>
        <cfvo type="min"/>
        <cfvo type="max"/>
        <color rgb="FFFFEF9C"/>
        <color rgb="FF63BE7B"/>
      </colorScale>
    </cfRule>
  </conditionalFormatting>
  <conditionalFormatting sqref="Q34:W34">
    <cfRule type="cellIs" dxfId="260" priority="512" operator="greaterThan">
      <formula>7.5</formula>
    </cfRule>
    <cfRule type="colorScale" priority="513">
      <colorScale>
        <cfvo type="min"/>
        <cfvo type="max"/>
        <color rgb="FFFFEF9C"/>
        <color rgb="FF63BE7B"/>
      </colorScale>
    </cfRule>
  </conditionalFormatting>
  <conditionalFormatting sqref="Q33:W33">
    <cfRule type="cellIs" dxfId="259" priority="510" operator="greaterThan">
      <formula>7.5</formula>
    </cfRule>
    <cfRule type="colorScale" priority="511">
      <colorScale>
        <cfvo type="min"/>
        <cfvo type="max"/>
        <color rgb="FFFFEF9C"/>
        <color rgb="FF63BE7B"/>
      </colorScale>
    </cfRule>
  </conditionalFormatting>
  <conditionalFormatting sqref="Q33:W33">
    <cfRule type="cellIs" dxfId="258" priority="508" operator="greaterThan">
      <formula>7.5</formula>
    </cfRule>
    <cfRule type="colorScale" priority="509">
      <colorScale>
        <cfvo type="min"/>
        <cfvo type="max"/>
        <color rgb="FFFFEF9C"/>
        <color rgb="FF63BE7B"/>
      </colorScale>
    </cfRule>
  </conditionalFormatting>
  <conditionalFormatting sqref="Q35:W35">
    <cfRule type="cellIs" dxfId="257" priority="506" operator="greaterThan">
      <formula>7.5</formula>
    </cfRule>
    <cfRule type="colorScale" priority="507">
      <colorScale>
        <cfvo type="min"/>
        <cfvo type="max"/>
        <color rgb="FFFFEF9C"/>
        <color rgb="FF63BE7B"/>
      </colorScale>
    </cfRule>
  </conditionalFormatting>
  <conditionalFormatting sqref="Q35:W35">
    <cfRule type="cellIs" dxfId="256" priority="504" operator="greaterThan">
      <formula>7.5</formula>
    </cfRule>
    <cfRule type="colorScale" priority="505">
      <colorScale>
        <cfvo type="min"/>
        <cfvo type="max"/>
        <color rgb="FFFFEF9C"/>
        <color rgb="FF63BE7B"/>
      </colorScale>
    </cfRule>
  </conditionalFormatting>
  <conditionalFormatting sqref="Q26:W26">
    <cfRule type="cellIs" dxfId="255" priority="502" operator="greaterThan">
      <formula>7.5</formula>
    </cfRule>
    <cfRule type="colorScale" priority="503">
      <colorScale>
        <cfvo type="min"/>
        <cfvo type="max"/>
        <color rgb="FFFFEF9C"/>
        <color rgb="FF63BE7B"/>
      </colorScale>
    </cfRule>
  </conditionalFormatting>
  <conditionalFormatting sqref="Q26:W26">
    <cfRule type="cellIs" dxfId="254" priority="500" operator="greaterThan">
      <formula>7.5</formula>
    </cfRule>
    <cfRule type="colorScale" priority="501">
      <colorScale>
        <cfvo type="min"/>
        <cfvo type="max"/>
        <color rgb="FFFFEF9C"/>
        <color rgb="FF63BE7B"/>
      </colorScale>
    </cfRule>
  </conditionalFormatting>
  <conditionalFormatting sqref="Q28:W28">
    <cfRule type="cellIs" dxfId="253" priority="498" operator="greaterThan">
      <formula>7.5</formula>
    </cfRule>
    <cfRule type="colorScale" priority="499">
      <colorScale>
        <cfvo type="min"/>
        <cfvo type="max"/>
        <color rgb="FFFFEF9C"/>
        <color rgb="FF63BE7B"/>
      </colorScale>
    </cfRule>
  </conditionalFormatting>
  <conditionalFormatting sqref="Q30:W30">
    <cfRule type="cellIs" dxfId="252" priority="496" operator="greaterThan">
      <formula>7.5</formula>
    </cfRule>
    <cfRule type="colorScale" priority="497">
      <colorScale>
        <cfvo type="min"/>
        <cfvo type="max"/>
        <color rgb="FFFFEF9C"/>
        <color rgb="FF63BE7B"/>
      </colorScale>
    </cfRule>
  </conditionalFormatting>
  <conditionalFormatting sqref="Q30:W30">
    <cfRule type="cellIs" dxfId="251" priority="494" operator="greaterThan">
      <formula>7.5</formula>
    </cfRule>
    <cfRule type="colorScale" priority="495">
      <colorScale>
        <cfvo type="min"/>
        <cfvo type="max"/>
        <color rgb="FFFFEF9C"/>
        <color rgb="FF63BE7B"/>
      </colorScale>
    </cfRule>
  </conditionalFormatting>
  <conditionalFormatting sqref="Q31:W31">
    <cfRule type="cellIs" dxfId="250" priority="492" operator="greaterThan">
      <formula>7.5</formula>
    </cfRule>
    <cfRule type="colorScale" priority="493">
      <colorScale>
        <cfvo type="min"/>
        <cfvo type="max"/>
        <color rgb="FFFFEF9C"/>
        <color rgb="FF63BE7B"/>
      </colorScale>
    </cfRule>
  </conditionalFormatting>
  <conditionalFormatting sqref="Q31:W31">
    <cfRule type="cellIs" dxfId="249" priority="490" operator="greaterThan">
      <formula>7.5</formula>
    </cfRule>
    <cfRule type="colorScale" priority="491">
      <colorScale>
        <cfvo type="min"/>
        <cfvo type="max"/>
        <color rgb="FFFFEF9C"/>
        <color rgb="FF63BE7B"/>
      </colorScale>
    </cfRule>
  </conditionalFormatting>
  <conditionalFormatting sqref="Q32:W32">
    <cfRule type="cellIs" dxfId="248" priority="488" operator="greaterThan">
      <formula>7.5</formula>
    </cfRule>
    <cfRule type="colorScale" priority="489">
      <colorScale>
        <cfvo type="min"/>
        <cfvo type="max"/>
        <color rgb="FFFFEF9C"/>
        <color rgb="FF63BE7B"/>
      </colorScale>
    </cfRule>
  </conditionalFormatting>
  <conditionalFormatting sqref="Q32:W32">
    <cfRule type="cellIs" dxfId="247" priority="486" operator="greaterThan">
      <formula>7.5</formula>
    </cfRule>
    <cfRule type="colorScale" priority="487">
      <colorScale>
        <cfvo type="min"/>
        <cfvo type="max"/>
        <color rgb="FFFFEF9C"/>
        <color rgb="FF63BE7B"/>
      </colorScale>
    </cfRule>
  </conditionalFormatting>
  <conditionalFormatting sqref="Q23:W23">
    <cfRule type="cellIs" dxfId="246" priority="484" operator="greaterThan">
      <formula>7.5</formula>
    </cfRule>
    <cfRule type="colorScale" priority="485">
      <colorScale>
        <cfvo type="min"/>
        <cfvo type="max"/>
        <color rgb="FFFFEF9C"/>
        <color rgb="FF63BE7B"/>
      </colorScale>
    </cfRule>
  </conditionalFormatting>
  <conditionalFormatting sqref="Q23:W23">
    <cfRule type="cellIs" dxfId="245" priority="482" operator="greaterThan">
      <formula>7.5</formula>
    </cfRule>
    <cfRule type="colorScale" priority="483">
      <colorScale>
        <cfvo type="min"/>
        <cfvo type="max"/>
        <color rgb="FFFFEF9C"/>
        <color rgb="FF63BE7B"/>
      </colorScale>
    </cfRule>
  </conditionalFormatting>
  <conditionalFormatting sqref="Q22:W23">
    <cfRule type="cellIs" dxfId="244" priority="480" operator="greaterThan">
      <formula>7.5</formula>
    </cfRule>
    <cfRule type="colorScale" priority="481">
      <colorScale>
        <cfvo type="min"/>
        <cfvo type="max"/>
        <color rgb="FFFFEF9C"/>
        <color rgb="FF63BE7B"/>
      </colorScale>
    </cfRule>
  </conditionalFormatting>
  <conditionalFormatting sqref="Q22:W22">
    <cfRule type="cellIs" dxfId="243" priority="478" operator="greaterThan">
      <formula>7.5</formula>
    </cfRule>
    <cfRule type="colorScale" priority="479">
      <colorScale>
        <cfvo type="min"/>
        <cfvo type="max"/>
        <color rgb="FFFFEF9C"/>
        <color rgb="FF63BE7B"/>
      </colorScale>
    </cfRule>
  </conditionalFormatting>
  <conditionalFormatting sqref="Q24:W24">
    <cfRule type="cellIs" dxfId="242" priority="476" operator="greaterThan">
      <formula>7.5</formula>
    </cfRule>
    <cfRule type="colorScale" priority="477">
      <colorScale>
        <cfvo type="min"/>
        <cfvo type="max"/>
        <color rgb="FFFFEF9C"/>
        <color rgb="FF63BE7B"/>
      </colorScale>
    </cfRule>
  </conditionalFormatting>
  <conditionalFormatting sqref="Q24:W24">
    <cfRule type="cellIs" dxfId="241" priority="474" operator="greaterThan">
      <formula>7.5</formula>
    </cfRule>
    <cfRule type="colorScale" priority="475">
      <colorScale>
        <cfvo type="min"/>
        <cfvo type="max"/>
        <color rgb="FFFFEF9C"/>
        <color rgb="FF63BE7B"/>
      </colorScale>
    </cfRule>
  </conditionalFormatting>
  <conditionalFormatting sqref="Q21:W21">
    <cfRule type="cellIs" dxfId="240" priority="472" operator="greaterThan">
      <formula>7.5</formula>
    </cfRule>
    <cfRule type="colorScale" priority="473">
      <colorScale>
        <cfvo type="min"/>
        <cfvo type="max"/>
        <color rgb="FFFFEF9C"/>
        <color rgb="FF63BE7B"/>
      </colorScale>
    </cfRule>
  </conditionalFormatting>
  <conditionalFormatting sqref="Q21:W21">
    <cfRule type="cellIs" dxfId="239" priority="470" operator="greaterThan">
      <formula>7.5</formula>
    </cfRule>
    <cfRule type="colorScale" priority="471">
      <colorScale>
        <cfvo type="min"/>
        <cfvo type="max"/>
        <color rgb="FFFFEF9C"/>
        <color rgb="FF63BE7B"/>
      </colorScale>
    </cfRule>
  </conditionalFormatting>
  <conditionalFormatting sqref="Q33:W33">
    <cfRule type="cellIs" dxfId="238" priority="468" operator="greaterThan">
      <formula>7.5</formula>
    </cfRule>
    <cfRule type="colorScale" priority="469">
      <colorScale>
        <cfvo type="min"/>
        <cfvo type="max"/>
        <color rgb="FFFFEF9C"/>
        <color rgb="FF63BE7B"/>
      </colorScale>
    </cfRule>
  </conditionalFormatting>
  <conditionalFormatting sqref="Q33:W33">
    <cfRule type="cellIs" dxfId="237" priority="466" operator="greaterThan">
      <formula>7.5</formula>
    </cfRule>
    <cfRule type="colorScale" priority="467">
      <colorScale>
        <cfvo type="min"/>
        <cfvo type="max"/>
        <color rgb="FFFFEF9C"/>
        <color rgb="FF63BE7B"/>
      </colorScale>
    </cfRule>
  </conditionalFormatting>
  <conditionalFormatting sqref="Q32:W32">
    <cfRule type="cellIs" dxfId="236" priority="464" operator="greaterThan">
      <formula>7.5</formula>
    </cfRule>
    <cfRule type="colorScale" priority="465">
      <colorScale>
        <cfvo type="min"/>
        <cfvo type="max"/>
        <color rgb="FFFFEF9C"/>
        <color rgb="FF63BE7B"/>
      </colorScale>
    </cfRule>
  </conditionalFormatting>
  <conditionalFormatting sqref="Q32:W32">
    <cfRule type="cellIs" dxfId="235" priority="462" operator="greaterThan">
      <formula>7.5</formula>
    </cfRule>
    <cfRule type="colorScale" priority="463">
      <colorScale>
        <cfvo type="min"/>
        <cfvo type="max"/>
        <color rgb="FFFFEF9C"/>
        <color rgb="FF63BE7B"/>
      </colorScale>
    </cfRule>
  </conditionalFormatting>
  <conditionalFormatting sqref="Q34:W34">
    <cfRule type="cellIs" dxfId="234" priority="460" operator="greaterThan">
      <formula>7.5</formula>
    </cfRule>
    <cfRule type="colorScale" priority="461">
      <colorScale>
        <cfvo type="min"/>
        <cfvo type="max"/>
        <color rgb="FFFFEF9C"/>
        <color rgb="FF63BE7B"/>
      </colorScale>
    </cfRule>
  </conditionalFormatting>
  <conditionalFormatting sqref="Q34:W34">
    <cfRule type="cellIs" dxfId="233" priority="458" operator="greaterThan">
      <formula>7.5</formula>
    </cfRule>
    <cfRule type="colorScale" priority="459">
      <colorScale>
        <cfvo type="min"/>
        <cfvo type="max"/>
        <color rgb="FFFFEF9C"/>
        <color rgb="FF63BE7B"/>
      </colorScale>
    </cfRule>
  </conditionalFormatting>
  <conditionalFormatting sqref="Q32:W32">
    <cfRule type="cellIs" dxfId="232" priority="456" operator="greaterThan">
      <formula>7.5</formula>
    </cfRule>
    <cfRule type="colorScale" priority="457">
      <colorScale>
        <cfvo type="min"/>
        <cfvo type="max"/>
        <color rgb="FFFFEF9C"/>
        <color rgb="FF63BE7B"/>
      </colorScale>
    </cfRule>
  </conditionalFormatting>
  <conditionalFormatting sqref="Q32:W32">
    <cfRule type="cellIs" dxfId="231" priority="454" operator="greaterThan">
      <formula>7.5</formula>
    </cfRule>
    <cfRule type="colorScale" priority="455">
      <colorScale>
        <cfvo type="min"/>
        <cfvo type="max"/>
        <color rgb="FFFFEF9C"/>
        <color rgb="FF63BE7B"/>
      </colorScale>
    </cfRule>
  </conditionalFormatting>
  <conditionalFormatting sqref="Q28:W28">
    <cfRule type="cellIs" dxfId="230" priority="452" operator="greaterThan">
      <formula>7.5</formula>
    </cfRule>
    <cfRule type="colorScale" priority="453">
      <colorScale>
        <cfvo type="min"/>
        <cfvo type="max"/>
        <color rgb="FFFFEF9C"/>
        <color rgb="FF63BE7B"/>
      </colorScale>
    </cfRule>
  </conditionalFormatting>
  <conditionalFormatting sqref="Q33:W33">
    <cfRule type="cellIs" dxfId="229" priority="450" operator="greaterThan">
      <formula>7.5</formula>
    </cfRule>
    <cfRule type="colorScale" priority="451">
      <colorScale>
        <cfvo type="min"/>
        <cfvo type="max"/>
        <color rgb="FFFFEF9C"/>
        <color rgb="FF63BE7B"/>
      </colorScale>
    </cfRule>
  </conditionalFormatting>
  <conditionalFormatting sqref="Q33:W33">
    <cfRule type="cellIs" dxfId="228" priority="448" operator="greaterThan">
      <formula>7.5</formula>
    </cfRule>
    <cfRule type="colorScale" priority="449">
      <colorScale>
        <cfvo type="min"/>
        <cfvo type="max"/>
        <color rgb="FFFFEF9C"/>
        <color rgb="FF63BE7B"/>
      </colorScale>
    </cfRule>
  </conditionalFormatting>
  <conditionalFormatting sqref="Q34:W34">
    <cfRule type="cellIs" dxfId="227" priority="446" operator="greaterThan">
      <formula>7.5</formula>
    </cfRule>
    <cfRule type="colorScale" priority="447">
      <colorScale>
        <cfvo type="min"/>
        <cfvo type="max"/>
        <color rgb="FFFFEF9C"/>
        <color rgb="FF63BE7B"/>
      </colorScale>
    </cfRule>
  </conditionalFormatting>
  <conditionalFormatting sqref="Q34:W34">
    <cfRule type="cellIs" dxfId="226" priority="444" operator="greaterThan">
      <formula>7.5</formula>
    </cfRule>
    <cfRule type="colorScale" priority="445">
      <colorScale>
        <cfvo type="min"/>
        <cfvo type="max"/>
        <color rgb="FFFFEF9C"/>
        <color rgb="FF63BE7B"/>
      </colorScale>
    </cfRule>
  </conditionalFormatting>
  <conditionalFormatting sqref="Q32:W32">
    <cfRule type="cellIs" dxfId="225" priority="442" operator="greaterThan">
      <formula>7.5</formula>
    </cfRule>
    <cfRule type="colorScale" priority="443">
      <colorScale>
        <cfvo type="min"/>
        <cfvo type="max"/>
        <color rgb="FFFFEF9C"/>
        <color rgb="FF63BE7B"/>
      </colorScale>
    </cfRule>
  </conditionalFormatting>
  <conditionalFormatting sqref="Q34:W34">
    <cfRule type="cellIs" dxfId="224" priority="440" operator="greaterThan">
      <formula>7.5</formula>
    </cfRule>
    <cfRule type="colorScale" priority="441">
      <colorScale>
        <cfvo type="min"/>
        <cfvo type="max"/>
        <color rgb="FFFFEF9C"/>
        <color rgb="FF63BE7B"/>
      </colorScale>
    </cfRule>
  </conditionalFormatting>
  <conditionalFormatting sqref="Q34:W34">
    <cfRule type="cellIs" dxfId="223" priority="438" operator="greaterThan">
      <formula>7.5</formula>
    </cfRule>
    <cfRule type="colorScale" priority="439">
      <colorScale>
        <cfvo type="min"/>
        <cfvo type="max"/>
        <color rgb="FFFFEF9C"/>
        <color rgb="FF63BE7B"/>
      </colorScale>
    </cfRule>
  </conditionalFormatting>
  <conditionalFormatting sqref="Q33:W33">
    <cfRule type="cellIs" dxfId="222" priority="436" operator="greaterThan">
      <formula>7.5</formula>
    </cfRule>
    <cfRule type="colorScale" priority="437">
      <colorScale>
        <cfvo type="min"/>
        <cfvo type="max"/>
        <color rgb="FFFFEF9C"/>
        <color rgb="FF63BE7B"/>
      </colorScale>
    </cfRule>
  </conditionalFormatting>
  <conditionalFormatting sqref="Q33:W33">
    <cfRule type="cellIs" dxfId="221" priority="434" operator="greaterThan">
      <formula>7.5</formula>
    </cfRule>
    <cfRule type="colorScale" priority="435">
      <colorScale>
        <cfvo type="min"/>
        <cfvo type="max"/>
        <color rgb="FFFFEF9C"/>
        <color rgb="FF63BE7B"/>
      </colorScale>
    </cfRule>
  </conditionalFormatting>
  <conditionalFormatting sqref="Q35:W35">
    <cfRule type="cellIs" dxfId="220" priority="432" operator="greaterThan">
      <formula>7.5</formula>
    </cfRule>
    <cfRule type="colorScale" priority="433">
      <colorScale>
        <cfvo type="min"/>
        <cfvo type="max"/>
        <color rgb="FFFFEF9C"/>
        <color rgb="FF63BE7B"/>
      </colorScale>
    </cfRule>
  </conditionalFormatting>
  <conditionalFormatting sqref="Q35:W35">
    <cfRule type="cellIs" dxfId="219" priority="430" operator="greaterThan">
      <formula>7.5</formula>
    </cfRule>
    <cfRule type="colorScale" priority="431">
      <colorScale>
        <cfvo type="min"/>
        <cfvo type="max"/>
        <color rgb="FFFFEF9C"/>
        <color rgb="FF63BE7B"/>
      </colorScale>
    </cfRule>
  </conditionalFormatting>
  <conditionalFormatting sqref="Q33:W33">
    <cfRule type="cellIs" dxfId="218" priority="428" operator="greaterThan">
      <formula>7.5</formula>
    </cfRule>
    <cfRule type="colorScale" priority="429">
      <colorScale>
        <cfvo type="min"/>
        <cfvo type="max"/>
        <color rgb="FFFFEF9C"/>
        <color rgb="FF63BE7B"/>
      </colorScale>
    </cfRule>
  </conditionalFormatting>
  <conditionalFormatting sqref="Q33:W33">
    <cfRule type="cellIs" dxfId="217" priority="426" operator="greaterThan">
      <formula>7.5</formula>
    </cfRule>
    <cfRule type="colorScale" priority="427">
      <colorScale>
        <cfvo type="min"/>
        <cfvo type="max"/>
        <color rgb="FFFFEF9C"/>
        <color rgb="FF63BE7B"/>
      </colorScale>
    </cfRule>
  </conditionalFormatting>
  <conditionalFormatting sqref="Q32:W32">
    <cfRule type="cellIs" dxfId="216" priority="424" operator="greaterThan">
      <formula>7.5</formula>
    </cfRule>
    <cfRule type="colorScale" priority="425">
      <colorScale>
        <cfvo type="min"/>
        <cfvo type="max"/>
        <color rgb="FFFFEF9C"/>
        <color rgb="FF63BE7B"/>
      </colorScale>
    </cfRule>
  </conditionalFormatting>
  <conditionalFormatting sqref="Q32:W32">
    <cfRule type="cellIs" dxfId="215" priority="422" operator="greaterThan">
      <formula>7.5</formula>
    </cfRule>
    <cfRule type="colorScale" priority="423">
      <colorScale>
        <cfvo type="min"/>
        <cfvo type="max"/>
        <color rgb="FFFFEF9C"/>
        <color rgb="FF63BE7B"/>
      </colorScale>
    </cfRule>
  </conditionalFormatting>
  <conditionalFormatting sqref="Q34:W34">
    <cfRule type="cellIs" dxfId="214" priority="420" operator="greaterThan">
      <formula>7.5</formula>
    </cfRule>
    <cfRule type="colorScale" priority="421">
      <colorScale>
        <cfvo type="min"/>
        <cfvo type="max"/>
        <color rgb="FFFFEF9C"/>
        <color rgb="FF63BE7B"/>
      </colorScale>
    </cfRule>
  </conditionalFormatting>
  <conditionalFormatting sqref="Q34:W34">
    <cfRule type="cellIs" dxfId="213" priority="418" operator="greaterThan">
      <formula>7.5</formula>
    </cfRule>
    <cfRule type="colorScale" priority="419">
      <colorScale>
        <cfvo type="min"/>
        <cfvo type="max"/>
        <color rgb="FFFFEF9C"/>
        <color rgb="FF63BE7B"/>
      </colorScale>
    </cfRule>
  </conditionalFormatting>
  <conditionalFormatting sqref="Q35:W35">
    <cfRule type="cellIs" dxfId="212" priority="416" operator="greaterThan">
      <formula>7.5</formula>
    </cfRule>
    <cfRule type="colorScale" priority="417">
      <colorScale>
        <cfvo type="min"/>
        <cfvo type="max"/>
        <color rgb="FFFFEF9C"/>
        <color rgb="FF63BE7B"/>
      </colorScale>
    </cfRule>
  </conditionalFormatting>
  <conditionalFormatting sqref="Q35:W35">
    <cfRule type="cellIs" dxfId="211" priority="414" operator="greaterThan">
      <formula>7.5</formula>
    </cfRule>
    <cfRule type="colorScale" priority="415">
      <colorScale>
        <cfvo type="min"/>
        <cfvo type="max"/>
        <color rgb="FFFFEF9C"/>
        <color rgb="FF63BE7B"/>
      </colorScale>
    </cfRule>
  </conditionalFormatting>
  <conditionalFormatting sqref="Q27:W27">
    <cfRule type="cellIs" dxfId="210" priority="412" operator="greaterThan">
      <formula>7.5</formula>
    </cfRule>
    <cfRule type="colorScale" priority="413">
      <colorScale>
        <cfvo type="min"/>
        <cfvo type="max"/>
        <color rgb="FFFFEF9C"/>
        <color rgb="FF63BE7B"/>
      </colorScale>
    </cfRule>
  </conditionalFormatting>
  <conditionalFormatting sqref="Q30:W30">
    <cfRule type="cellIs" dxfId="209" priority="410" operator="greaterThan">
      <formula>7.5</formula>
    </cfRule>
    <cfRule type="colorScale" priority="411">
      <colorScale>
        <cfvo type="min"/>
        <cfvo type="max"/>
        <color rgb="FFFFEF9C"/>
        <color rgb="FF63BE7B"/>
      </colorScale>
    </cfRule>
  </conditionalFormatting>
  <conditionalFormatting sqref="Q30:W30">
    <cfRule type="cellIs" dxfId="208" priority="408" operator="greaterThan">
      <formula>7.5</formula>
    </cfRule>
    <cfRule type="colorScale" priority="409">
      <colorScale>
        <cfvo type="min"/>
        <cfvo type="max"/>
        <color rgb="FFFFEF9C"/>
        <color rgb="FF63BE7B"/>
      </colorScale>
    </cfRule>
  </conditionalFormatting>
  <conditionalFormatting sqref="Q31:W31">
    <cfRule type="cellIs" dxfId="207" priority="406" operator="greaterThan">
      <formula>7.5</formula>
    </cfRule>
    <cfRule type="colorScale" priority="407">
      <colorScale>
        <cfvo type="min"/>
        <cfvo type="max"/>
        <color rgb="FFFFEF9C"/>
        <color rgb="FF63BE7B"/>
      </colorScale>
    </cfRule>
  </conditionalFormatting>
  <conditionalFormatting sqref="Q31:W31">
    <cfRule type="cellIs" dxfId="206" priority="404" operator="greaterThan">
      <formula>7.5</formula>
    </cfRule>
    <cfRule type="colorScale" priority="405">
      <colorScale>
        <cfvo type="min"/>
        <cfvo type="max"/>
        <color rgb="FFFFEF9C"/>
        <color rgb="FF63BE7B"/>
      </colorScale>
    </cfRule>
  </conditionalFormatting>
  <conditionalFormatting sqref="Q33:W33">
    <cfRule type="cellIs" dxfId="205" priority="402" operator="greaterThan">
      <formula>7.5</formula>
    </cfRule>
    <cfRule type="colorScale" priority="403">
      <colorScale>
        <cfvo type="min"/>
        <cfvo type="max"/>
        <color rgb="FFFFEF9C"/>
        <color rgb="FF63BE7B"/>
      </colorScale>
    </cfRule>
  </conditionalFormatting>
  <conditionalFormatting sqref="Q33:W33">
    <cfRule type="cellIs" dxfId="204" priority="400" operator="greaterThan">
      <formula>7.5</formula>
    </cfRule>
    <cfRule type="colorScale" priority="401">
      <colorScale>
        <cfvo type="min"/>
        <cfvo type="max"/>
        <color rgb="FFFFEF9C"/>
        <color rgb="FF63BE7B"/>
      </colorScale>
    </cfRule>
  </conditionalFormatting>
  <conditionalFormatting sqref="Q32:W32">
    <cfRule type="cellIs" dxfId="203" priority="398" operator="greaterThan">
      <formula>7.5</formula>
    </cfRule>
    <cfRule type="colorScale" priority="399">
      <colorScale>
        <cfvo type="min"/>
        <cfvo type="max"/>
        <color rgb="FFFFEF9C"/>
        <color rgb="FF63BE7B"/>
      </colorScale>
    </cfRule>
  </conditionalFormatting>
  <conditionalFormatting sqref="Q32:W32">
    <cfRule type="cellIs" dxfId="202" priority="396" operator="greaterThan">
      <formula>7.5</formula>
    </cfRule>
    <cfRule type="colorScale" priority="397">
      <colorScale>
        <cfvo type="min"/>
        <cfvo type="max"/>
        <color rgb="FFFFEF9C"/>
        <color rgb="FF63BE7B"/>
      </colorScale>
    </cfRule>
  </conditionalFormatting>
  <conditionalFormatting sqref="Q34:W34">
    <cfRule type="cellIs" dxfId="201" priority="394" operator="greaterThan">
      <formula>7.5</formula>
    </cfRule>
    <cfRule type="colorScale" priority="395">
      <colorScale>
        <cfvo type="min"/>
        <cfvo type="max"/>
        <color rgb="FFFFEF9C"/>
        <color rgb="FF63BE7B"/>
      </colorScale>
    </cfRule>
  </conditionalFormatting>
  <conditionalFormatting sqref="Q34:W34">
    <cfRule type="cellIs" dxfId="200" priority="392" operator="greaterThan">
      <formula>7.5</formula>
    </cfRule>
    <cfRule type="colorScale" priority="393">
      <colorScale>
        <cfvo type="min"/>
        <cfvo type="max"/>
        <color rgb="FFFFEF9C"/>
        <color rgb="FF63BE7B"/>
      </colorScale>
    </cfRule>
  </conditionalFormatting>
  <conditionalFormatting sqref="Q32:W32">
    <cfRule type="cellIs" dxfId="199" priority="390" operator="greaterThan">
      <formula>7.5</formula>
    </cfRule>
    <cfRule type="colorScale" priority="391">
      <colorScale>
        <cfvo type="min"/>
        <cfvo type="max"/>
        <color rgb="FFFFEF9C"/>
        <color rgb="FF63BE7B"/>
      </colorScale>
    </cfRule>
  </conditionalFormatting>
  <conditionalFormatting sqref="Q32:W32">
    <cfRule type="cellIs" dxfId="198" priority="388" operator="greaterThan">
      <formula>7.5</formula>
    </cfRule>
    <cfRule type="colorScale" priority="389">
      <colorScale>
        <cfvo type="min"/>
        <cfvo type="max"/>
        <color rgb="FFFFEF9C"/>
        <color rgb="FF63BE7B"/>
      </colorScale>
    </cfRule>
  </conditionalFormatting>
  <conditionalFormatting sqref="Q28:W28">
    <cfRule type="cellIs" dxfId="197" priority="386" operator="greaterThan">
      <formula>7.5</formula>
    </cfRule>
    <cfRule type="colorScale" priority="387">
      <colorScale>
        <cfvo type="min"/>
        <cfvo type="max"/>
        <color rgb="FFFFEF9C"/>
        <color rgb="FF63BE7B"/>
      </colorScale>
    </cfRule>
  </conditionalFormatting>
  <conditionalFormatting sqref="Q33:W33">
    <cfRule type="cellIs" dxfId="196" priority="384" operator="greaterThan">
      <formula>7.5</formula>
    </cfRule>
    <cfRule type="colorScale" priority="385">
      <colorScale>
        <cfvo type="min"/>
        <cfvo type="max"/>
        <color rgb="FFFFEF9C"/>
        <color rgb="FF63BE7B"/>
      </colorScale>
    </cfRule>
  </conditionalFormatting>
  <conditionalFormatting sqref="Q33:W33">
    <cfRule type="cellIs" dxfId="195" priority="382" operator="greaterThan">
      <formula>7.5</formula>
    </cfRule>
    <cfRule type="colorScale" priority="383">
      <colorScale>
        <cfvo type="min"/>
        <cfvo type="max"/>
        <color rgb="FFFFEF9C"/>
        <color rgb="FF63BE7B"/>
      </colorScale>
    </cfRule>
  </conditionalFormatting>
  <conditionalFormatting sqref="Q34:W34">
    <cfRule type="cellIs" dxfId="194" priority="380" operator="greaterThan">
      <formula>7.5</formula>
    </cfRule>
    <cfRule type="colorScale" priority="381">
      <colorScale>
        <cfvo type="min"/>
        <cfvo type="max"/>
        <color rgb="FFFFEF9C"/>
        <color rgb="FF63BE7B"/>
      </colorScale>
    </cfRule>
  </conditionalFormatting>
  <conditionalFormatting sqref="Q34:W34">
    <cfRule type="cellIs" dxfId="193" priority="378" operator="greaterThan">
      <formula>7.5</formula>
    </cfRule>
    <cfRule type="colorScale" priority="379">
      <colorScale>
        <cfvo type="min"/>
        <cfvo type="max"/>
        <color rgb="FFFFEF9C"/>
        <color rgb="FF63BE7B"/>
      </colorScale>
    </cfRule>
  </conditionalFormatting>
  <conditionalFormatting sqref="Q32:W32">
    <cfRule type="cellIs" dxfId="192" priority="376" operator="greaterThan">
      <formula>7.5</formula>
    </cfRule>
    <cfRule type="colorScale" priority="377">
      <colorScale>
        <cfvo type="min"/>
        <cfvo type="max"/>
        <color rgb="FFFFEF9C"/>
        <color rgb="FF63BE7B"/>
      </colorScale>
    </cfRule>
  </conditionalFormatting>
  <conditionalFormatting sqref="Q34:W34">
    <cfRule type="cellIs" dxfId="191" priority="374" operator="greaterThan">
      <formula>7.5</formula>
    </cfRule>
    <cfRule type="colorScale" priority="375">
      <colorScale>
        <cfvo type="min"/>
        <cfvo type="max"/>
        <color rgb="FFFFEF9C"/>
        <color rgb="FF63BE7B"/>
      </colorScale>
    </cfRule>
  </conditionalFormatting>
  <conditionalFormatting sqref="Q34:W34">
    <cfRule type="cellIs" dxfId="190" priority="372" operator="greaterThan">
      <formula>7.5</formula>
    </cfRule>
    <cfRule type="colorScale" priority="373">
      <colorScale>
        <cfvo type="min"/>
        <cfvo type="max"/>
        <color rgb="FFFFEF9C"/>
        <color rgb="FF63BE7B"/>
      </colorScale>
    </cfRule>
  </conditionalFormatting>
  <conditionalFormatting sqref="Q33:W33">
    <cfRule type="cellIs" dxfId="189" priority="370" operator="greaterThan">
      <formula>7.5</formula>
    </cfRule>
    <cfRule type="colorScale" priority="371">
      <colorScale>
        <cfvo type="min"/>
        <cfvo type="max"/>
        <color rgb="FFFFEF9C"/>
        <color rgb="FF63BE7B"/>
      </colorScale>
    </cfRule>
  </conditionalFormatting>
  <conditionalFormatting sqref="Q33:W33">
    <cfRule type="cellIs" dxfId="188" priority="368" operator="greaterThan">
      <formula>7.5</formula>
    </cfRule>
    <cfRule type="colorScale" priority="369">
      <colorScale>
        <cfvo type="min"/>
        <cfvo type="max"/>
        <color rgb="FFFFEF9C"/>
        <color rgb="FF63BE7B"/>
      </colorScale>
    </cfRule>
  </conditionalFormatting>
  <conditionalFormatting sqref="Q35:W35">
    <cfRule type="cellIs" dxfId="187" priority="366" operator="greaterThan">
      <formula>7.5</formula>
    </cfRule>
    <cfRule type="colorScale" priority="367">
      <colorScale>
        <cfvo type="min"/>
        <cfvo type="max"/>
        <color rgb="FFFFEF9C"/>
        <color rgb="FF63BE7B"/>
      </colorScale>
    </cfRule>
  </conditionalFormatting>
  <conditionalFormatting sqref="Q35:W35">
    <cfRule type="cellIs" dxfId="186" priority="364" operator="greaterThan">
      <formula>7.5</formula>
    </cfRule>
    <cfRule type="colorScale" priority="365">
      <colorScale>
        <cfvo type="min"/>
        <cfvo type="max"/>
        <color rgb="FFFFEF9C"/>
        <color rgb="FF63BE7B"/>
      </colorScale>
    </cfRule>
  </conditionalFormatting>
  <conditionalFormatting sqref="Q33:W33">
    <cfRule type="cellIs" dxfId="185" priority="362" operator="greaterThan">
      <formula>7.5</formula>
    </cfRule>
    <cfRule type="colorScale" priority="363">
      <colorScale>
        <cfvo type="min"/>
        <cfvo type="max"/>
        <color rgb="FFFFEF9C"/>
        <color rgb="FF63BE7B"/>
      </colorScale>
    </cfRule>
  </conditionalFormatting>
  <conditionalFormatting sqref="Q33:W33">
    <cfRule type="cellIs" dxfId="184" priority="360" operator="greaterThan">
      <formula>7.5</formula>
    </cfRule>
    <cfRule type="colorScale" priority="361">
      <colorScale>
        <cfvo type="min"/>
        <cfvo type="max"/>
        <color rgb="FFFFEF9C"/>
        <color rgb="FF63BE7B"/>
      </colorScale>
    </cfRule>
  </conditionalFormatting>
  <conditionalFormatting sqref="Q32:W32">
    <cfRule type="cellIs" dxfId="183" priority="358" operator="greaterThan">
      <formula>7.5</formula>
    </cfRule>
    <cfRule type="colorScale" priority="359">
      <colorScale>
        <cfvo type="min"/>
        <cfvo type="max"/>
        <color rgb="FFFFEF9C"/>
        <color rgb="FF63BE7B"/>
      </colorScale>
    </cfRule>
  </conditionalFormatting>
  <conditionalFormatting sqref="Q32:W32">
    <cfRule type="cellIs" dxfId="182" priority="356" operator="greaterThan">
      <formula>7.5</formula>
    </cfRule>
    <cfRule type="colorScale" priority="357">
      <colorScale>
        <cfvo type="min"/>
        <cfvo type="max"/>
        <color rgb="FFFFEF9C"/>
        <color rgb="FF63BE7B"/>
      </colorScale>
    </cfRule>
  </conditionalFormatting>
  <conditionalFormatting sqref="Q34:W34">
    <cfRule type="cellIs" dxfId="181" priority="354" operator="greaterThan">
      <formula>7.5</formula>
    </cfRule>
    <cfRule type="colorScale" priority="355">
      <colorScale>
        <cfvo type="min"/>
        <cfvo type="max"/>
        <color rgb="FFFFEF9C"/>
        <color rgb="FF63BE7B"/>
      </colorScale>
    </cfRule>
  </conditionalFormatting>
  <conditionalFormatting sqref="Q34:W34">
    <cfRule type="cellIs" dxfId="180" priority="352" operator="greaterThan">
      <formula>7.5</formula>
    </cfRule>
    <cfRule type="colorScale" priority="353">
      <colorScale>
        <cfvo type="min"/>
        <cfvo type="max"/>
        <color rgb="FFFFEF9C"/>
        <color rgb="FF63BE7B"/>
      </colorScale>
    </cfRule>
  </conditionalFormatting>
  <conditionalFormatting sqref="Q35:W35">
    <cfRule type="cellIs" dxfId="179" priority="350" operator="greaterThan">
      <formula>7.5</formula>
    </cfRule>
    <cfRule type="colorScale" priority="351">
      <colorScale>
        <cfvo type="min"/>
        <cfvo type="max"/>
        <color rgb="FFFFEF9C"/>
        <color rgb="FF63BE7B"/>
      </colorScale>
    </cfRule>
  </conditionalFormatting>
  <conditionalFormatting sqref="Q35:W35">
    <cfRule type="cellIs" dxfId="178" priority="348" operator="greaterThan">
      <formula>7.5</formula>
    </cfRule>
    <cfRule type="colorScale" priority="349">
      <colorScale>
        <cfvo type="min"/>
        <cfvo type="max"/>
        <color rgb="FFFFEF9C"/>
        <color rgb="FF63BE7B"/>
      </colorScale>
    </cfRule>
  </conditionalFormatting>
  <conditionalFormatting sqref="Q30:W30">
    <cfRule type="cellIs" dxfId="177" priority="346" operator="greaterThan">
      <formula>7.5</formula>
    </cfRule>
    <cfRule type="colorScale" priority="347">
      <colorScale>
        <cfvo type="min"/>
        <cfvo type="max"/>
        <color rgb="FFFFEF9C"/>
        <color rgb="FF63BE7B"/>
      </colorScale>
    </cfRule>
  </conditionalFormatting>
  <conditionalFormatting sqref="Q30:W30">
    <cfRule type="cellIs" dxfId="176" priority="344" operator="greaterThan">
      <formula>7.5</formula>
    </cfRule>
    <cfRule type="colorScale" priority="345">
      <colorScale>
        <cfvo type="min"/>
        <cfvo type="max"/>
        <color rgb="FFFFEF9C"/>
        <color rgb="FF63BE7B"/>
      </colorScale>
    </cfRule>
  </conditionalFormatting>
  <conditionalFormatting sqref="Q31:W31">
    <cfRule type="cellIs" dxfId="175" priority="342" operator="greaterThan">
      <formula>7.5</formula>
    </cfRule>
    <cfRule type="colorScale" priority="343">
      <colorScale>
        <cfvo type="min"/>
        <cfvo type="max"/>
        <color rgb="FFFFEF9C"/>
        <color rgb="FF63BE7B"/>
      </colorScale>
    </cfRule>
  </conditionalFormatting>
  <conditionalFormatting sqref="Q31:W31">
    <cfRule type="cellIs" dxfId="174" priority="340" operator="greaterThan">
      <formula>7.5</formula>
    </cfRule>
    <cfRule type="colorScale" priority="341">
      <colorScale>
        <cfvo type="min"/>
        <cfvo type="max"/>
        <color rgb="FFFFEF9C"/>
        <color rgb="FF63BE7B"/>
      </colorScale>
    </cfRule>
  </conditionalFormatting>
  <conditionalFormatting sqref="Q32:W32">
    <cfRule type="cellIs" dxfId="173" priority="338" operator="greaterThan">
      <formula>7.5</formula>
    </cfRule>
    <cfRule type="colorScale" priority="339">
      <colorScale>
        <cfvo type="min"/>
        <cfvo type="max"/>
        <color rgb="FFFFEF9C"/>
        <color rgb="FF63BE7B"/>
      </colorScale>
    </cfRule>
  </conditionalFormatting>
  <conditionalFormatting sqref="Q32:W32">
    <cfRule type="cellIs" dxfId="172" priority="336" operator="greaterThan">
      <formula>7.5</formula>
    </cfRule>
    <cfRule type="colorScale" priority="337">
      <colorScale>
        <cfvo type="min"/>
        <cfvo type="max"/>
        <color rgb="FFFFEF9C"/>
        <color rgb="FF63BE7B"/>
      </colorScale>
    </cfRule>
  </conditionalFormatting>
  <conditionalFormatting sqref="Q31:W31">
    <cfRule type="cellIs" dxfId="171" priority="334" operator="greaterThan">
      <formula>7.5</formula>
    </cfRule>
    <cfRule type="colorScale" priority="335">
      <colorScale>
        <cfvo type="min"/>
        <cfvo type="max"/>
        <color rgb="FFFFEF9C"/>
        <color rgb="FF63BE7B"/>
      </colorScale>
    </cfRule>
  </conditionalFormatting>
  <conditionalFormatting sqref="Q31:W31">
    <cfRule type="cellIs" dxfId="170" priority="332" operator="greaterThan">
      <formula>7.5</formula>
    </cfRule>
    <cfRule type="colorScale" priority="333">
      <colorScale>
        <cfvo type="min"/>
        <cfvo type="max"/>
        <color rgb="FFFFEF9C"/>
        <color rgb="FF63BE7B"/>
      </colorScale>
    </cfRule>
  </conditionalFormatting>
  <conditionalFormatting sqref="Q33:W33">
    <cfRule type="cellIs" dxfId="169" priority="330" operator="greaterThan">
      <formula>7.5</formula>
    </cfRule>
    <cfRule type="colorScale" priority="331">
      <colorScale>
        <cfvo type="min"/>
        <cfvo type="max"/>
        <color rgb="FFFFEF9C"/>
        <color rgb="FF63BE7B"/>
      </colorScale>
    </cfRule>
  </conditionalFormatting>
  <conditionalFormatting sqref="Q33:W33">
    <cfRule type="cellIs" dxfId="168" priority="328" operator="greaterThan">
      <formula>7.5</formula>
    </cfRule>
    <cfRule type="colorScale" priority="329">
      <colorScale>
        <cfvo type="min"/>
        <cfvo type="max"/>
        <color rgb="FFFFEF9C"/>
        <color rgb="FF63BE7B"/>
      </colorScale>
    </cfRule>
  </conditionalFormatting>
  <conditionalFormatting sqref="Q31:W31">
    <cfRule type="cellIs" dxfId="167" priority="326" operator="greaterThan">
      <formula>7.5</formula>
    </cfRule>
    <cfRule type="colorScale" priority="327">
      <colorScale>
        <cfvo type="min"/>
        <cfvo type="max"/>
        <color rgb="FFFFEF9C"/>
        <color rgb="FF63BE7B"/>
      </colorScale>
    </cfRule>
  </conditionalFormatting>
  <conditionalFormatting sqref="Q31:W31">
    <cfRule type="cellIs" dxfId="166" priority="324" operator="greaterThan">
      <formula>7.5</formula>
    </cfRule>
    <cfRule type="colorScale" priority="325">
      <colorScale>
        <cfvo type="min"/>
        <cfvo type="max"/>
        <color rgb="FFFFEF9C"/>
        <color rgb="FF63BE7B"/>
      </colorScale>
    </cfRule>
  </conditionalFormatting>
  <conditionalFormatting sqref="Q32:W32">
    <cfRule type="cellIs" dxfId="165" priority="322" operator="greaterThan">
      <formula>7.5</formula>
    </cfRule>
    <cfRule type="colorScale" priority="323">
      <colorScale>
        <cfvo type="min"/>
        <cfvo type="max"/>
        <color rgb="FFFFEF9C"/>
        <color rgb="FF63BE7B"/>
      </colorScale>
    </cfRule>
  </conditionalFormatting>
  <conditionalFormatting sqref="Q32:W32">
    <cfRule type="cellIs" dxfId="164" priority="320" operator="greaterThan">
      <formula>7.5</formula>
    </cfRule>
    <cfRule type="colorScale" priority="321">
      <colorScale>
        <cfvo type="min"/>
        <cfvo type="max"/>
        <color rgb="FFFFEF9C"/>
        <color rgb="FF63BE7B"/>
      </colorScale>
    </cfRule>
  </conditionalFormatting>
  <conditionalFormatting sqref="Q33:W33">
    <cfRule type="cellIs" dxfId="163" priority="318" operator="greaterThan">
      <formula>7.5</formula>
    </cfRule>
    <cfRule type="colorScale" priority="319">
      <colorScale>
        <cfvo type="min"/>
        <cfvo type="max"/>
        <color rgb="FFFFEF9C"/>
        <color rgb="FF63BE7B"/>
      </colorScale>
    </cfRule>
  </conditionalFormatting>
  <conditionalFormatting sqref="Q33:W33">
    <cfRule type="cellIs" dxfId="162" priority="316" operator="greaterThan">
      <formula>7.5</formula>
    </cfRule>
    <cfRule type="colorScale" priority="317">
      <colorScale>
        <cfvo type="min"/>
        <cfvo type="max"/>
        <color rgb="FFFFEF9C"/>
        <color rgb="FF63BE7B"/>
      </colorScale>
    </cfRule>
  </conditionalFormatting>
  <conditionalFormatting sqref="Q31:W31">
    <cfRule type="cellIs" dxfId="161" priority="314" operator="greaterThan">
      <formula>7.5</formula>
    </cfRule>
    <cfRule type="colorScale" priority="315">
      <colorScale>
        <cfvo type="min"/>
        <cfvo type="max"/>
        <color rgb="FFFFEF9C"/>
        <color rgb="FF63BE7B"/>
      </colorScale>
    </cfRule>
  </conditionalFormatting>
  <conditionalFormatting sqref="Q33:W33">
    <cfRule type="cellIs" dxfId="160" priority="312" operator="greaterThan">
      <formula>7.5</formula>
    </cfRule>
    <cfRule type="colorScale" priority="313">
      <colorScale>
        <cfvo type="min"/>
        <cfvo type="max"/>
        <color rgb="FFFFEF9C"/>
        <color rgb="FF63BE7B"/>
      </colorScale>
    </cfRule>
  </conditionalFormatting>
  <conditionalFormatting sqref="Q33:W33">
    <cfRule type="cellIs" dxfId="159" priority="310" operator="greaterThan">
      <formula>7.5</formula>
    </cfRule>
    <cfRule type="colorScale" priority="311">
      <colorScale>
        <cfvo type="min"/>
        <cfvo type="max"/>
        <color rgb="FFFFEF9C"/>
        <color rgb="FF63BE7B"/>
      </colorScale>
    </cfRule>
  </conditionalFormatting>
  <conditionalFormatting sqref="Q32:W32">
    <cfRule type="cellIs" dxfId="158" priority="308" operator="greaterThan">
      <formula>7.5</formula>
    </cfRule>
    <cfRule type="colorScale" priority="309">
      <colorScale>
        <cfvo type="min"/>
        <cfvo type="max"/>
        <color rgb="FFFFEF9C"/>
        <color rgb="FF63BE7B"/>
      </colorScale>
    </cfRule>
  </conditionalFormatting>
  <conditionalFormatting sqref="Q32:W32">
    <cfRule type="cellIs" dxfId="157" priority="306" operator="greaterThan">
      <formula>7.5</formula>
    </cfRule>
    <cfRule type="colorScale" priority="307">
      <colorScale>
        <cfvo type="min"/>
        <cfvo type="max"/>
        <color rgb="FFFFEF9C"/>
        <color rgb="FF63BE7B"/>
      </colorScale>
    </cfRule>
  </conditionalFormatting>
  <conditionalFormatting sqref="Q34:W34">
    <cfRule type="cellIs" dxfId="156" priority="304" operator="greaterThan">
      <formula>7.5</formula>
    </cfRule>
    <cfRule type="colorScale" priority="305">
      <colorScale>
        <cfvo type="min"/>
        <cfvo type="max"/>
        <color rgb="FFFFEF9C"/>
        <color rgb="FF63BE7B"/>
      </colorScale>
    </cfRule>
  </conditionalFormatting>
  <conditionalFormatting sqref="Q34:W34">
    <cfRule type="cellIs" dxfId="155" priority="302" operator="greaterThan">
      <formula>7.5</formula>
    </cfRule>
    <cfRule type="colorScale" priority="303">
      <colorScale>
        <cfvo type="min"/>
        <cfvo type="max"/>
        <color rgb="FFFFEF9C"/>
        <color rgb="FF63BE7B"/>
      </colorScale>
    </cfRule>
  </conditionalFormatting>
  <conditionalFormatting sqref="Q32:W32">
    <cfRule type="cellIs" dxfId="154" priority="300" operator="greaterThan">
      <formula>7.5</formula>
    </cfRule>
    <cfRule type="colorScale" priority="301">
      <colorScale>
        <cfvo type="min"/>
        <cfvo type="max"/>
        <color rgb="FFFFEF9C"/>
        <color rgb="FF63BE7B"/>
      </colorScale>
    </cfRule>
  </conditionalFormatting>
  <conditionalFormatting sqref="Q32:W32">
    <cfRule type="cellIs" dxfId="153" priority="298" operator="greaterThan">
      <formula>7.5</formula>
    </cfRule>
    <cfRule type="colorScale" priority="299">
      <colorScale>
        <cfvo type="min"/>
        <cfvo type="max"/>
        <color rgb="FFFFEF9C"/>
        <color rgb="FF63BE7B"/>
      </colorScale>
    </cfRule>
  </conditionalFormatting>
  <conditionalFormatting sqref="Q31:W31">
    <cfRule type="cellIs" dxfId="152" priority="296" operator="greaterThan">
      <formula>7.5</formula>
    </cfRule>
    <cfRule type="colorScale" priority="297">
      <colorScale>
        <cfvo type="min"/>
        <cfvo type="max"/>
        <color rgb="FFFFEF9C"/>
        <color rgb="FF63BE7B"/>
      </colorScale>
    </cfRule>
  </conditionalFormatting>
  <conditionalFormatting sqref="Q31:W31">
    <cfRule type="cellIs" dxfId="151" priority="294" operator="greaterThan">
      <formula>7.5</formula>
    </cfRule>
    <cfRule type="colorScale" priority="295">
      <colorScale>
        <cfvo type="min"/>
        <cfvo type="max"/>
        <color rgb="FFFFEF9C"/>
        <color rgb="FF63BE7B"/>
      </colorScale>
    </cfRule>
  </conditionalFormatting>
  <conditionalFormatting sqref="Q33:W33">
    <cfRule type="cellIs" dxfId="150" priority="292" operator="greaterThan">
      <formula>7.5</formula>
    </cfRule>
    <cfRule type="colorScale" priority="293">
      <colorScale>
        <cfvo type="min"/>
        <cfvo type="max"/>
        <color rgb="FFFFEF9C"/>
        <color rgb="FF63BE7B"/>
      </colorScale>
    </cfRule>
  </conditionalFormatting>
  <conditionalFormatting sqref="Q33:W33">
    <cfRule type="cellIs" dxfId="149" priority="290" operator="greaterThan">
      <formula>7.5</formula>
    </cfRule>
    <cfRule type="colorScale" priority="291">
      <colorScale>
        <cfvo type="min"/>
        <cfvo type="max"/>
        <color rgb="FFFFEF9C"/>
        <color rgb="FF63BE7B"/>
      </colorScale>
    </cfRule>
  </conditionalFormatting>
  <conditionalFormatting sqref="Q34:W34">
    <cfRule type="cellIs" dxfId="148" priority="288" operator="greaterThan">
      <formula>7.5</formula>
    </cfRule>
    <cfRule type="colorScale" priority="289">
      <colorScale>
        <cfvo type="min"/>
        <cfvo type="max"/>
        <color rgb="FFFFEF9C"/>
        <color rgb="FF63BE7B"/>
      </colorScale>
    </cfRule>
  </conditionalFormatting>
  <conditionalFormatting sqref="Q34:W34">
    <cfRule type="cellIs" dxfId="147" priority="286" operator="greaterThan">
      <formula>7.5</formula>
    </cfRule>
    <cfRule type="colorScale" priority="287">
      <colorScale>
        <cfvo type="min"/>
        <cfvo type="max"/>
        <color rgb="FFFFEF9C"/>
        <color rgb="FF63BE7B"/>
      </colorScale>
    </cfRule>
  </conditionalFormatting>
  <conditionalFormatting sqref="Q28:W28">
    <cfRule type="cellIs" dxfId="146" priority="284" operator="greaterThan">
      <formula>7.5</formula>
    </cfRule>
    <cfRule type="colorScale" priority="285">
      <colorScale>
        <cfvo type="min"/>
        <cfvo type="max"/>
        <color rgb="FFFFEF9C"/>
        <color rgb="FF63BE7B"/>
      </colorScale>
    </cfRule>
  </conditionalFormatting>
  <conditionalFormatting sqref="Q28:W28">
    <cfRule type="cellIs" dxfId="145" priority="282" operator="greaterThan">
      <formula>7.5</formula>
    </cfRule>
    <cfRule type="colorScale" priority="283">
      <colorScale>
        <cfvo type="min"/>
        <cfvo type="max"/>
        <color rgb="FFFFEF9C"/>
        <color rgb="FF63BE7B"/>
      </colorScale>
    </cfRule>
  </conditionalFormatting>
  <conditionalFormatting sqref="Q30:W30">
    <cfRule type="cellIs" dxfId="144" priority="280" operator="greaterThan">
      <formula>7.5</formula>
    </cfRule>
    <cfRule type="colorScale" priority="281">
      <colorScale>
        <cfvo type="min"/>
        <cfvo type="max"/>
        <color rgb="FFFFEF9C"/>
        <color rgb="FF63BE7B"/>
      </colorScale>
    </cfRule>
  </conditionalFormatting>
  <conditionalFormatting sqref="Q30:W30">
    <cfRule type="cellIs" dxfId="143" priority="278" operator="greaterThan">
      <formula>7.5</formula>
    </cfRule>
    <cfRule type="colorScale" priority="279">
      <colorScale>
        <cfvo type="min"/>
        <cfvo type="max"/>
        <color rgb="FFFFEF9C"/>
        <color rgb="FF63BE7B"/>
      </colorScale>
    </cfRule>
  </conditionalFormatting>
  <conditionalFormatting sqref="Q29:W29">
    <cfRule type="cellIs" dxfId="142" priority="276" operator="greaterThan">
      <formula>7.5</formula>
    </cfRule>
    <cfRule type="colorScale" priority="277">
      <colorScale>
        <cfvo type="min"/>
        <cfvo type="max"/>
        <color rgb="FFFFEF9C"/>
        <color rgb="FF63BE7B"/>
      </colorScale>
    </cfRule>
  </conditionalFormatting>
  <conditionalFormatting sqref="Q29:W29">
    <cfRule type="cellIs" dxfId="141" priority="274" operator="greaterThan">
      <formula>7.5</formula>
    </cfRule>
    <cfRule type="colorScale" priority="275">
      <colorScale>
        <cfvo type="min"/>
        <cfvo type="max"/>
        <color rgb="FFFFEF9C"/>
        <color rgb="FF63BE7B"/>
      </colorScale>
    </cfRule>
  </conditionalFormatting>
  <conditionalFormatting sqref="Q29:W29">
    <cfRule type="cellIs" dxfId="140" priority="272" operator="greaterThan">
      <formula>7.5</formula>
    </cfRule>
    <cfRule type="colorScale" priority="273">
      <colorScale>
        <cfvo type="min"/>
        <cfvo type="max"/>
        <color rgb="FFFFEF9C"/>
        <color rgb="FF63BE7B"/>
      </colorScale>
    </cfRule>
  </conditionalFormatting>
  <conditionalFormatting sqref="Q29:W29">
    <cfRule type="cellIs" dxfId="139" priority="270" operator="greaterThan">
      <formula>7.5</formula>
    </cfRule>
    <cfRule type="colorScale" priority="271">
      <colorScale>
        <cfvo type="min"/>
        <cfvo type="max"/>
        <color rgb="FFFFEF9C"/>
        <color rgb="FF63BE7B"/>
      </colorScale>
    </cfRule>
  </conditionalFormatting>
  <conditionalFormatting sqref="Q29:W29">
    <cfRule type="cellIs" dxfId="138" priority="268" operator="greaterThan">
      <formula>7.5</formula>
    </cfRule>
    <cfRule type="colorScale" priority="269">
      <colorScale>
        <cfvo type="min"/>
        <cfvo type="max"/>
        <color rgb="FFFFEF9C"/>
        <color rgb="FF63BE7B"/>
      </colorScale>
    </cfRule>
  </conditionalFormatting>
  <conditionalFormatting sqref="Q29:W29">
    <cfRule type="cellIs" dxfId="137" priority="266" operator="greaterThan">
      <formula>7.5</formula>
    </cfRule>
    <cfRule type="colorScale" priority="267">
      <colorScale>
        <cfvo type="min"/>
        <cfvo type="max"/>
        <color rgb="FFFFEF9C"/>
        <color rgb="FF63BE7B"/>
      </colorScale>
    </cfRule>
  </conditionalFormatting>
  <conditionalFormatting sqref="Q36:W36">
    <cfRule type="cellIs" dxfId="136" priority="264" operator="greaterThan">
      <formula>7.5</formula>
    </cfRule>
    <cfRule type="colorScale" priority="265">
      <colorScale>
        <cfvo type="min"/>
        <cfvo type="max"/>
        <color rgb="FFFFEF9C"/>
        <color rgb="FF63BE7B"/>
      </colorScale>
    </cfRule>
  </conditionalFormatting>
  <conditionalFormatting sqref="Q36:W36">
    <cfRule type="cellIs" dxfId="135" priority="262" operator="greaterThan">
      <formula>7.5</formula>
    </cfRule>
    <cfRule type="colorScale" priority="263">
      <colorScale>
        <cfvo type="min"/>
        <cfvo type="max"/>
        <color rgb="FFFFEF9C"/>
        <color rgb="FF63BE7B"/>
      </colorScale>
    </cfRule>
  </conditionalFormatting>
  <conditionalFormatting sqref="Q36:W36">
    <cfRule type="cellIs" dxfId="134" priority="260" operator="greaterThan">
      <formula>7.5</formula>
    </cfRule>
    <cfRule type="colorScale" priority="261">
      <colorScale>
        <cfvo type="min"/>
        <cfvo type="max"/>
        <color rgb="FFFFEF9C"/>
        <color rgb="FF63BE7B"/>
      </colorScale>
    </cfRule>
  </conditionalFormatting>
  <conditionalFormatting sqref="Q36:W36">
    <cfRule type="cellIs" dxfId="133" priority="258" operator="greaterThan">
      <formula>7.5</formula>
    </cfRule>
    <cfRule type="colorScale" priority="259">
      <colorScale>
        <cfvo type="min"/>
        <cfvo type="max"/>
        <color rgb="FFFFEF9C"/>
        <color rgb="FF63BE7B"/>
      </colorScale>
    </cfRule>
  </conditionalFormatting>
  <conditionalFormatting sqref="Q36:W36">
    <cfRule type="cellIs" dxfId="132" priority="256" operator="greaterThan">
      <formula>7.5</formula>
    </cfRule>
    <cfRule type="colorScale" priority="257">
      <colorScale>
        <cfvo type="min"/>
        <cfvo type="max"/>
        <color rgb="FFFFEF9C"/>
        <color rgb="FF63BE7B"/>
      </colorScale>
    </cfRule>
  </conditionalFormatting>
  <conditionalFormatting sqref="Q36:W36">
    <cfRule type="cellIs" dxfId="131" priority="254" operator="greaterThan">
      <formula>7.5</formula>
    </cfRule>
    <cfRule type="colorScale" priority="255">
      <colorScale>
        <cfvo type="min"/>
        <cfvo type="max"/>
        <color rgb="FFFFEF9C"/>
        <color rgb="FF63BE7B"/>
      </colorScale>
    </cfRule>
  </conditionalFormatting>
  <conditionalFormatting sqref="Q36:W36">
    <cfRule type="cellIs" dxfId="130" priority="252" operator="greaterThan">
      <formula>7.5</formula>
    </cfRule>
    <cfRule type="colorScale" priority="253">
      <colorScale>
        <cfvo type="min"/>
        <cfvo type="max"/>
        <color rgb="FFFFEF9C"/>
        <color rgb="FF63BE7B"/>
      </colorScale>
    </cfRule>
  </conditionalFormatting>
  <conditionalFormatting sqref="Q36:W36">
    <cfRule type="cellIs" dxfId="129" priority="250" operator="greaterThan">
      <formula>7.5</formula>
    </cfRule>
    <cfRule type="colorScale" priority="251">
      <colorScale>
        <cfvo type="min"/>
        <cfvo type="max"/>
        <color rgb="FFFFEF9C"/>
        <color rgb="FF63BE7B"/>
      </colorScale>
    </cfRule>
  </conditionalFormatting>
  <conditionalFormatting sqref="Q36:W36">
    <cfRule type="cellIs" dxfId="128" priority="248" operator="greaterThan">
      <formula>7.5</formula>
    </cfRule>
    <cfRule type="colorScale" priority="249">
      <colorScale>
        <cfvo type="min"/>
        <cfvo type="max"/>
        <color rgb="FFFFEF9C"/>
        <color rgb="FF63BE7B"/>
      </colorScale>
    </cfRule>
  </conditionalFormatting>
  <conditionalFormatting sqref="Q36:W36">
    <cfRule type="cellIs" dxfId="127" priority="246" operator="greaterThan">
      <formula>7.5</formula>
    </cfRule>
    <cfRule type="colorScale" priority="247">
      <colorScale>
        <cfvo type="min"/>
        <cfvo type="max"/>
        <color rgb="FFFFEF9C"/>
        <color rgb="FF63BE7B"/>
      </colorScale>
    </cfRule>
  </conditionalFormatting>
  <conditionalFormatting sqref="Q36:W36">
    <cfRule type="cellIs" dxfId="126" priority="244" operator="greaterThan">
      <formula>7.5</formula>
    </cfRule>
    <cfRule type="colorScale" priority="245">
      <colorScale>
        <cfvo type="min"/>
        <cfvo type="max"/>
        <color rgb="FFFFEF9C"/>
        <color rgb="FF63BE7B"/>
      </colorScale>
    </cfRule>
  </conditionalFormatting>
  <conditionalFormatting sqref="Q36:W36">
    <cfRule type="cellIs" dxfId="125" priority="242" operator="greaterThan">
      <formula>7.5</formula>
    </cfRule>
    <cfRule type="colorScale" priority="243">
      <colorScale>
        <cfvo type="min"/>
        <cfvo type="max"/>
        <color rgb="FFFFEF9C"/>
        <color rgb="FF63BE7B"/>
      </colorScale>
    </cfRule>
  </conditionalFormatting>
  <conditionalFormatting sqref="Q36:W36">
    <cfRule type="cellIs" dxfId="124" priority="240" operator="greaterThan">
      <formula>7.5</formula>
    </cfRule>
    <cfRule type="colorScale" priority="241">
      <colorScale>
        <cfvo type="min"/>
        <cfvo type="max"/>
        <color rgb="FFFFEF9C"/>
        <color rgb="FF63BE7B"/>
      </colorScale>
    </cfRule>
  </conditionalFormatting>
  <conditionalFormatting sqref="Q36:W36">
    <cfRule type="cellIs" dxfId="123" priority="238" operator="greaterThan">
      <formula>7.5</formula>
    </cfRule>
    <cfRule type="colorScale" priority="239">
      <colorScale>
        <cfvo type="min"/>
        <cfvo type="max"/>
        <color rgb="FFFFEF9C"/>
        <color rgb="FF63BE7B"/>
      </colorScale>
    </cfRule>
  </conditionalFormatting>
  <conditionalFormatting sqref="Q36:W36">
    <cfRule type="cellIs" dxfId="122" priority="236" operator="greaterThan">
      <formula>7.5</formula>
    </cfRule>
    <cfRule type="colorScale" priority="237">
      <colorScale>
        <cfvo type="min"/>
        <cfvo type="max"/>
        <color rgb="FFFFEF9C"/>
        <color rgb="FF63BE7B"/>
      </colorScale>
    </cfRule>
  </conditionalFormatting>
  <conditionalFormatting sqref="Q36:W36">
    <cfRule type="cellIs" dxfId="121" priority="234" operator="greaterThan">
      <formula>7.5</formula>
    </cfRule>
    <cfRule type="colorScale" priority="235">
      <colorScale>
        <cfvo type="min"/>
        <cfvo type="max"/>
        <color rgb="FFFFEF9C"/>
        <color rgb="FF63BE7B"/>
      </colorScale>
    </cfRule>
  </conditionalFormatting>
  <conditionalFormatting sqref="Q36:W36">
    <cfRule type="cellIs" dxfId="120" priority="232" operator="greaterThan">
      <formula>7.5</formula>
    </cfRule>
    <cfRule type="colorScale" priority="233">
      <colorScale>
        <cfvo type="min"/>
        <cfvo type="max"/>
        <color rgb="FFFFEF9C"/>
        <color rgb="FF63BE7B"/>
      </colorScale>
    </cfRule>
  </conditionalFormatting>
  <conditionalFormatting sqref="Q36:W36">
    <cfRule type="cellIs" dxfId="119" priority="230" operator="greaterThan">
      <formula>7.5</formula>
    </cfRule>
    <cfRule type="colorScale" priority="231">
      <colorScale>
        <cfvo type="min"/>
        <cfvo type="max"/>
        <color rgb="FFFFEF9C"/>
        <color rgb="FF63BE7B"/>
      </colorScale>
    </cfRule>
  </conditionalFormatting>
  <conditionalFormatting sqref="Q35:W35">
    <cfRule type="cellIs" dxfId="118" priority="228" operator="greaterThan">
      <formula>7.5</formula>
    </cfRule>
    <cfRule type="colorScale" priority="229">
      <colorScale>
        <cfvo type="min"/>
        <cfvo type="max"/>
        <color rgb="FFFFEF9C"/>
        <color rgb="FF63BE7B"/>
      </colorScale>
    </cfRule>
  </conditionalFormatting>
  <conditionalFormatting sqref="Q35:W35">
    <cfRule type="cellIs" dxfId="117" priority="226" operator="greaterThan">
      <formula>7.5</formula>
    </cfRule>
    <cfRule type="colorScale" priority="227">
      <colorScale>
        <cfvo type="min"/>
        <cfvo type="max"/>
        <color rgb="FFFFEF9C"/>
        <color rgb="FF63BE7B"/>
      </colorScale>
    </cfRule>
  </conditionalFormatting>
  <conditionalFormatting sqref="Q34:W34">
    <cfRule type="cellIs" dxfId="116" priority="224" operator="greaterThan">
      <formula>7.5</formula>
    </cfRule>
    <cfRule type="colorScale" priority="225">
      <colorScale>
        <cfvo type="min"/>
        <cfvo type="max"/>
        <color rgb="FFFFEF9C"/>
        <color rgb="FF63BE7B"/>
      </colorScale>
    </cfRule>
  </conditionalFormatting>
  <conditionalFormatting sqref="Q34:W34">
    <cfRule type="cellIs" dxfId="115" priority="222" operator="greaterThan">
      <formula>7.5</formula>
    </cfRule>
    <cfRule type="colorScale" priority="223">
      <colorScale>
        <cfvo type="min"/>
        <cfvo type="max"/>
        <color rgb="FFFFEF9C"/>
        <color rgb="FF63BE7B"/>
      </colorScale>
    </cfRule>
  </conditionalFormatting>
  <conditionalFormatting sqref="Q34:W34">
    <cfRule type="cellIs" dxfId="114" priority="220" operator="greaterThan">
      <formula>7.5</formula>
    </cfRule>
    <cfRule type="colorScale" priority="221">
      <colorScale>
        <cfvo type="min"/>
        <cfvo type="max"/>
        <color rgb="FFFFEF9C"/>
        <color rgb="FF63BE7B"/>
      </colorScale>
    </cfRule>
  </conditionalFormatting>
  <conditionalFormatting sqref="Q34:W34">
    <cfRule type="cellIs" dxfId="113" priority="218" operator="greaterThan">
      <formula>7.5</formula>
    </cfRule>
    <cfRule type="colorScale" priority="219">
      <colorScale>
        <cfvo type="min"/>
        <cfvo type="max"/>
        <color rgb="FFFFEF9C"/>
        <color rgb="FF63BE7B"/>
      </colorScale>
    </cfRule>
  </conditionalFormatting>
  <conditionalFormatting sqref="Q35:W35">
    <cfRule type="cellIs" dxfId="112" priority="216" operator="greaterThan">
      <formula>7.5</formula>
    </cfRule>
    <cfRule type="colorScale" priority="217">
      <colorScale>
        <cfvo type="min"/>
        <cfvo type="max"/>
        <color rgb="FFFFEF9C"/>
        <color rgb="FF63BE7B"/>
      </colorScale>
    </cfRule>
  </conditionalFormatting>
  <conditionalFormatting sqref="Q35:W35">
    <cfRule type="cellIs" dxfId="111" priority="214" operator="greaterThan">
      <formula>7.5</formula>
    </cfRule>
    <cfRule type="colorScale" priority="215">
      <colorScale>
        <cfvo type="min"/>
        <cfvo type="max"/>
        <color rgb="FFFFEF9C"/>
        <color rgb="FF63BE7B"/>
      </colorScale>
    </cfRule>
  </conditionalFormatting>
  <conditionalFormatting sqref="Q34:W34">
    <cfRule type="cellIs" dxfId="110" priority="212" operator="greaterThan">
      <formula>7.5</formula>
    </cfRule>
    <cfRule type="colorScale" priority="213">
      <colorScale>
        <cfvo type="min"/>
        <cfvo type="max"/>
        <color rgb="FFFFEF9C"/>
        <color rgb="FF63BE7B"/>
      </colorScale>
    </cfRule>
  </conditionalFormatting>
  <conditionalFormatting sqref="Q35:W35">
    <cfRule type="cellIs" dxfId="109" priority="210" operator="greaterThan">
      <formula>7.5</formula>
    </cfRule>
    <cfRule type="colorScale" priority="211">
      <colorScale>
        <cfvo type="min"/>
        <cfvo type="max"/>
        <color rgb="FFFFEF9C"/>
        <color rgb="FF63BE7B"/>
      </colorScale>
    </cfRule>
  </conditionalFormatting>
  <conditionalFormatting sqref="Q35:W35">
    <cfRule type="cellIs" dxfId="108" priority="208" operator="greaterThan">
      <formula>7.5</formula>
    </cfRule>
    <cfRule type="colorScale" priority="209">
      <colorScale>
        <cfvo type="min"/>
        <cfvo type="max"/>
        <color rgb="FFFFEF9C"/>
        <color rgb="FF63BE7B"/>
      </colorScale>
    </cfRule>
  </conditionalFormatting>
  <conditionalFormatting sqref="Q35:W35">
    <cfRule type="cellIs" dxfId="107" priority="206" operator="greaterThan">
      <formula>7.5</formula>
    </cfRule>
    <cfRule type="colorScale" priority="207">
      <colorScale>
        <cfvo type="min"/>
        <cfvo type="max"/>
        <color rgb="FFFFEF9C"/>
        <color rgb="FF63BE7B"/>
      </colorScale>
    </cfRule>
  </conditionalFormatting>
  <conditionalFormatting sqref="Q35:W35">
    <cfRule type="cellIs" dxfId="106" priority="204" operator="greaterThan">
      <formula>7.5</formula>
    </cfRule>
    <cfRule type="colorScale" priority="205">
      <colorScale>
        <cfvo type="min"/>
        <cfvo type="max"/>
        <color rgb="FFFFEF9C"/>
        <color rgb="FF63BE7B"/>
      </colorScale>
    </cfRule>
  </conditionalFormatting>
  <conditionalFormatting sqref="Q34:W34">
    <cfRule type="cellIs" dxfId="105" priority="202" operator="greaterThan">
      <formula>7.5</formula>
    </cfRule>
    <cfRule type="colorScale" priority="203">
      <colorScale>
        <cfvo type="min"/>
        <cfvo type="max"/>
        <color rgb="FFFFEF9C"/>
        <color rgb="FF63BE7B"/>
      </colorScale>
    </cfRule>
  </conditionalFormatting>
  <conditionalFormatting sqref="Q34:W34">
    <cfRule type="cellIs" dxfId="104" priority="200" operator="greaterThan">
      <formula>7.5</formula>
    </cfRule>
    <cfRule type="colorScale" priority="201">
      <colorScale>
        <cfvo type="min"/>
        <cfvo type="max"/>
        <color rgb="FFFFEF9C"/>
        <color rgb="FF63BE7B"/>
      </colorScale>
    </cfRule>
  </conditionalFormatting>
  <conditionalFormatting sqref="Q32:W32">
    <cfRule type="cellIs" dxfId="103" priority="198" operator="greaterThan">
      <formula>7.5</formula>
    </cfRule>
    <cfRule type="colorScale" priority="199">
      <colorScale>
        <cfvo type="min"/>
        <cfvo type="max"/>
        <color rgb="FFFFEF9C"/>
        <color rgb="FF63BE7B"/>
      </colorScale>
    </cfRule>
  </conditionalFormatting>
  <conditionalFormatting sqref="Q32:W32">
    <cfRule type="cellIs" dxfId="102" priority="196" operator="greaterThan">
      <formula>7.5</formula>
    </cfRule>
    <cfRule type="colorScale" priority="197">
      <colorScale>
        <cfvo type="min"/>
        <cfvo type="max"/>
        <color rgb="FFFFEF9C"/>
        <color rgb="FF63BE7B"/>
      </colorScale>
    </cfRule>
  </conditionalFormatting>
  <conditionalFormatting sqref="Q33:W33">
    <cfRule type="cellIs" dxfId="101" priority="194" operator="greaterThan">
      <formula>7.5</formula>
    </cfRule>
    <cfRule type="colorScale" priority="195">
      <colorScale>
        <cfvo type="min"/>
        <cfvo type="max"/>
        <color rgb="FFFFEF9C"/>
        <color rgb="FF63BE7B"/>
      </colorScale>
    </cfRule>
  </conditionalFormatting>
  <conditionalFormatting sqref="Q33:W33">
    <cfRule type="cellIs" dxfId="100" priority="192" operator="greaterThan">
      <formula>7.5</formula>
    </cfRule>
    <cfRule type="colorScale" priority="193">
      <colorScale>
        <cfvo type="min"/>
        <cfvo type="max"/>
        <color rgb="FFFFEF9C"/>
        <color rgb="FF63BE7B"/>
      </colorScale>
    </cfRule>
  </conditionalFormatting>
  <conditionalFormatting sqref="Q34:W34">
    <cfRule type="cellIs" dxfId="99" priority="190" operator="greaterThan">
      <formula>7.5</formula>
    </cfRule>
    <cfRule type="colorScale" priority="191">
      <colorScale>
        <cfvo type="min"/>
        <cfvo type="max"/>
        <color rgb="FFFFEF9C"/>
        <color rgb="FF63BE7B"/>
      </colorScale>
    </cfRule>
  </conditionalFormatting>
  <conditionalFormatting sqref="Q34:W34">
    <cfRule type="cellIs" dxfId="98" priority="188" operator="greaterThan">
      <formula>7.5</formula>
    </cfRule>
    <cfRule type="colorScale" priority="189">
      <colorScale>
        <cfvo type="min"/>
        <cfvo type="max"/>
        <color rgb="FFFFEF9C"/>
        <color rgb="FF63BE7B"/>
      </colorScale>
    </cfRule>
  </conditionalFormatting>
  <conditionalFormatting sqref="Q33:W33">
    <cfRule type="cellIs" dxfId="97" priority="186" operator="greaterThan">
      <formula>7.5</formula>
    </cfRule>
    <cfRule type="colorScale" priority="187">
      <colorScale>
        <cfvo type="min"/>
        <cfvo type="max"/>
        <color rgb="FFFFEF9C"/>
        <color rgb="FF63BE7B"/>
      </colorScale>
    </cfRule>
  </conditionalFormatting>
  <conditionalFormatting sqref="Q33:W33">
    <cfRule type="cellIs" dxfId="96" priority="184" operator="greaterThan">
      <formula>7.5</formula>
    </cfRule>
    <cfRule type="colorScale" priority="185">
      <colorScale>
        <cfvo type="min"/>
        <cfvo type="max"/>
        <color rgb="FFFFEF9C"/>
        <color rgb="FF63BE7B"/>
      </colorScale>
    </cfRule>
  </conditionalFormatting>
  <conditionalFormatting sqref="Q35:W35">
    <cfRule type="cellIs" dxfId="95" priority="182" operator="greaterThan">
      <formula>7.5</formula>
    </cfRule>
    <cfRule type="colorScale" priority="183">
      <colorScale>
        <cfvo type="min"/>
        <cfvo type="max"/>
        <color rgb="FFFFEF9C"/>
        <color rgb="FF63BE7B"/>
      </colorScale>
    </cfRule>
  </conditionalFormatting>
  <conditionalFormatting sqref="Q35:W35">
    <cfRule type="cellIs" dxfId="94" priority="180" operator="greaterThan">
      <formula>7.5</formula>
    </cfRule>
    <cfRule type="colorScale" priority="181">
      <colorScale>
        <cfvo type="min"/>
        <cfvo type="max"/>
        <color rgb="FFFFEF9C"/>
        <color rgb="FF63BE7B"/>
      </colorScale>
    </cfRule>
  </conditionalFormatting>
  <conditionalFormatting sqref="Q33:W33">
    <cfRule type="cellIs" dxfId="93" priority="178" operator="greaterThan">
      <formula>7.5</formula>
    </cfRule>
    <cfRule type="colorScale" priority="179">
      <colorScale>
        <cfvo type="min"/>
        <cfvo type="max"/>
        <color rgb="FFFFEF9C"/>
        <color rgb="FF63BE7B"/>
      </colorScale>
    </cfRule>
  </conditionalFormatting>
  <conditionalFormatting sqref="Q33:W33">
    <cfRule type="cellIs" dxfId="92" priority="176" operator="greaterThan">
      <formula>7.5</formula>
    </cfRule>
    <cfRule type="colorScale" priority="177">
      <colorScale>
        <cfvo type="min"/>
        <cfvo type="max"/>
        <color rgb="FFFFEF9C"/>
        <color rgb="FF63BE7B"/>
      </colorScale>
    </cfRule>
  </conditionalFormatting>
  <conditionalFormatting sqref="Q34:W34">
    <cfRule type="cellIs" dxfId="91" priority="174" operator="greaterThan">
      <formula>7.5</formula>
    </cfRule>
    <cfRule type="colorScale" priority="175">
      <colorScale>
        <cfvo type="min"/>
        <cfvo type="max"/>
        <color rgb="FFFFEF9C"/>
        <color rgb="FF63BE7B"/>
      </colorScale>
    </cfRule>
  </conditionalFormatting>
  <conditionalFormatting sqref="Q34:W34">
    <cfRule type="cellIs" dxfId="90" priority="172" operator="greaterThan">
      <formula>7.5</formula>
    </cfRule>
    <cfRule type="colorScale" priority="173">
      <colorScale>
        <cfvo type="min"/>
        <cfvo type="max"/>
        <color rgb="FFFFEF9C"/>
        <color rgb="FF63BE7B"/>
      </colorScale>
    </cfRule>
  </conditionalFormatting>
  <conditionalFormatting sqref="Q35:W35">
    <cfRule type="cellIs" dxfId="89" priority="170" operator="greaterThan">
      <formula>7.5</formula>
    </cfRule>
    <cfRule type="colorScale" priority="171">
      <colorScale>
        <cfvo type="min"/>
        <cfvo type="max"/>
        <color rgb="FFFFEF9C"/>
        <color rgb="FF63BE7B"/>
      </colorScale>
    </cfRule>
  </conditionalFormatting>
  <conditionalFormatting sqref="Q35:W35">
    <cfRule type="cellIs" dxfId="88" priority="168" operator="greaterThan">
      <formula>7.5</formula>
    </cfRule>
    <cfRule type="colorScale" priority="169">
      <colorScale>
        <cfvo type="min"/>
        <cfvo type="max"/>
        <color rgb="FFFFEF9C"/>
        <color rgb="FF63BE7B"/>
      </colorScale>
    </cfRule>
  </conditionalFormatting>
  <conditionalFormatting sqref="Q33:W33">
    <cfRule type="cellIs" dxfId="87" priority="166" operator="greaterThan">
      <formula>7.5</formula>
    </cfRule>
    <cfRule type="colorScale" priority="167">
      <colorScale>
        <cfvo type="min"/>
        <cfvo type="max"/>
        <color rgb="FFFFEF9C"/>
        <color rgb="FF63BE7B"/>
      </colorScale>
    </cfRule>
  </conditionalFormatting>
  <conditionalFormatting sqref="Q35:W35">
    <cfRule type="cellIs" dxfId="86" priority="164" operator="greaterThan">
      <formula>7.5</formula>
    </cfRule>
    <cfRule type="colorScale" priority="165">
      <colorScale>
        <cfvo type="min"/>
        <cfvo type="max"/>
        <color rgb="FFFFEF9C"/>
        <color rgb="FF63BE7B"/>
      </colorScale>
    </cfRule>
  </conditionalFormatting>
  <conditionalFormatting sqref="Q35:W35">
    <cfRule type="cellIs" dxfId="85" priority="162" operator="greaterThan">
      <formula>7.5</formula>
    </cfRule>
    <cfRule type="colorScale" priority="163">
      <colorScale>
        <cfvo type="min"/>
        <cfvo type="max"/>
        <color rgb="FFFFEF9C"/>
        <color rgb="FF63BE7B"/>
      </colorScale>
    </cfRule>
  </conditionalFormatting>
  <conditionalFormatting sqref="Q34:W34">
    <cfRule type="cellIs" dxfId="84" priority="160" operator="greaterThan">
      <formula>7.5</formula>
    </cfRule>
    <cfRule type="colorScale" priority="161">
      <colorScale>
        <cfvo type="min"/>
        <cfvo type="max"/>
        <color rgb="FFFFEF9C"/>
        <color rgb="FF63BE7B"/>
      </colorScale>
    </cfRule>
  </conditionalFormatting>
  <conditionalFormatting sqref="Q34:W34">
    <cfRule type="cellIs" dxfId="83" priority="158" operator="greaterThan">
      <formula>7.5</formula>
    </cfRule>
    <cfRule type="colorScale" priority="159">
      <colorScale>
        <cfvo type="min"/>
        <cfvo type="max"/>
        <color rgb="FFFFEF9C"/>
        <color rgb="FF63BE7B"/>
      </colorScale>
    </cfRule>
  </conditionalFormatting>
  <conditionalFormatting sqref="Q34:W34">
    <cfRule type="cellIs" dxfId="82" priority="156" operator="greaterThan">
      <formula>7.5</formula>
    </cfRule>
    <cfRule type="colorScale" priority="157">
      <colorScale>
        <cfvo type="min"/>
        <cfvo type="max"/>
        <color rgb="FFFFEF9C"/>
        <color rgb="FF63BE7B"/>
      </colorScale>
    </cfRule>
  </conditionalFormatting>
  <conditionalFormatting sqref="Q34:W34">
    <cfRule type="cellIs" dxfId="81" priority="154" operator="greaterThan">
      <formula>7.5</formula>
    </cfRule>
    <cfRule type="colorScale" priority="155">
      <colorScale>
        <cfvo type="min"/>
        <cfvo type="max"/>
        <color rgb="FFFFEF9C"/>
        <color rgb="FF63BE7B"/>
      </colorScale>
    </cfRule>
  </conditionalFormatting>
  <conditionalFormatting sqref="Q33:W33">
    <cfRule type="cellIs" dxfId="80" priority="152" operator="greaterThan">
      <formula>7.5</formula>
    </cfRule>
    <cfRule type="colorScale" priority="153">
      <colorScale>
        <cfvo type="min"/>
        <cfvo type="max"/>
        <color rgb="FFFFEF9C"/>
        <color rgb="FF63BE7B"/>
      </colorScale>
    </cfRule>
  </conditionalFormatting>
  <conditionalFormatting sqref="Q33:W33">
    <cfRule type="cellIs" dxfId="79" priority="150" operator="greaterThan">
      <formula>7.5</formula>
    </cfRule>
    <cfRule type="colorScale" priority="151">
      <colorScale>
        <cfvo type="min"/>
        <cfvo type="max"/>
        <color rgb="FFFFEF9C"/>
        <color rgb="FF63BE7B"/>
      </colorScale>
    </cfRule>
  </conditionalFormatting>
  <conditionalFormatting sqref="Q35:W35">
    <cfRule type="cellIs" dxfId="78" priority="148" operator="greaterThan">
      <formula>7.5</formula>
    </cfRule>
    <cfRule type="colorScale" priority="149">
      <colorScale>
        <cfvo type="min"/>
        <cfvo type="max"/>
        <color rgb="FFFFEF9C"/>
        <color rgb="FF63BE7B"/>
      </colorScale>
    </cfRule>
  </conditionalFormatting>
  <conditionalFormatting sqref="Q35:W35">
    <cfRule type="cellIs" dxfId="77" priority="146" operator="greaterThan">
      <formula>7.5</formula>
    </cfRule>
    <cfRule type="colorScale" priority="147">
      <colorScale>
        <cfvo type="min"/>
        <cfvo type="max"/>
        <color rgb="FFFFEF9C"/>
        <color rgb="FF63BE7B"/>
      </colorScale>
    </cfRule>
  </conditionalFormatting>
  <conditionalFormatting sqref="Q32:W32">
    <cfRule type="cellIs" dxfId="76" priority="144" operator="greaterThan">
      <formula>7.5</formula>
    </cfRule>
    <cfRule type="colorScale" priority="145">
      <colorScale>
        <cfvo type="min"/>
        <cfvo type="max"/>
        <color rgb="FFFFEF9C"/>
        <color rgb="FF63BE7B"/>
      </colorScale>
    </cfRule>
  </conditionalFormatting>
  <conditionalFormatting sqref="Q32:W32">
    <cfRule type="cellIs" dxfId="75" priority="142" operator="greaterThan">
      <formula>7.5</formula>
    </cfRule>
    <cfRule type="colorScale" priority="143">
      <colorScale>
        <cfvo type="min"/>
        <cfvo type="max"/>
        <color rgb="FFFFEF9C"/>
        <color rgb="FF63BE7B"/>
      </colorScale>
    </cfRule>
  </conditionalFormatting>
  <conditionalFormatting sqref="Q34:W34">
    <cfRule type="cellIs" dxfId="74" priority="140" operator="greaterThan">
      <formula>7.5</formula>
    </cfRule>
    <cfRule type="colorScale" priority="141">
      <colorScale>
        <cfvo type="min"/>
        <cfvo type="max"/>
        <color rgb="FFFFEF9C"/>
        <color rgb="FF63BE7B"/>
      </colorScale>
    </cfRule>
  </conditionalFormatting>
  <conditionalFormatting sqref="Q34:W34">
    <cfRule type="cellIs" dxfId="73" priority="138" operator="greaterThan">
      <formula>7.5</formula>
    </cfRule>
    <cfRule type="colorScale" priority="139">
      <colorScale>
        <cfvo type="min"/>
        <cfvo type="max"/>
        <color rgb="FFFFEF9C"/>
        <color rgb="FF63BE7B"/>
      </colorScale>
    </cfRule>
  </conditionalFormatting>
  <conditionalFormatting sqref="Q33:W33">
    <cfRule type="cellIs" dxfId="72" priority="136" operator="greaterThan">
      <formula>7.5</formula>
    </cfRule>
    <cfRule type="colorScale" priority="137">
      <colorScale>
        <cfvo type="min"/>
        <cfvo type="max"/>
        <color rgb="FFFFEF9C"/>
        <color rgb="FF63BE7B"/>
      </colorScale>
    </cfRule>
  </conditionalFormatting>
  <conditionalFormatting sqref="Q33:W33">
    <cfRule type="cellIs" dxfId="71" priority="134" operator="greaterThan">
      <formula>7.5</formula>
    </cfRule>
    <cfRule type="colorScale" priority="135">
      <colorScale>
        <cfvo type="min"/>
        <cfvo type="max"/>
        <color rgb="FFFFEF9C"/>
        <color rgb="FF63BE7B"/>
      </colorScale>
    </cfRule>
  </conditionalFormatting>
  <conditionalFormatting sqref="Q35:W35">
    <cfRule type="cellIs" dxfId="70" priority="132" operator="greaterThan">
      <formula>7.5</formula>
    </cfRule>
    <cfRule type="colorScale" priority="133">
      <colorScale>
        <cfvo type="min"/>
        <cfvo type="max"/>
        <color rgb="FFFFEF9C"/>
        <color rgb="FF63BE7B"/>
      </colorScale>
    </cfRule>
  </conditionalFormatting>
  <conditionalFormatting sqref="Q35:W35">
    <cfRule type="cellIs" dxfId="69" priority="130" operator="greaterThan">
      <formula>7.5</formula>
    </cfRule>
    <cfRule type="colorScale" priority="131">
      <colorScale>
        <cfvo type="min"/>
        <cfvo type="max"/>
        <color rgb="FFFFEF9C"/>
        <color rgb="FF63BE7B"/>
      </colorScale>
    </cfRule>
  </conditionalFormatting>
  <conditionalFormatting sqref="Q33:W33">
    <cfRule type="cellIs" dxfId="68" priority="128" operator="greaterThan">
      <formula>7.5</formula>
    </cfRule>
    <cfRule type="colorScale" priority="129">
      <colorScale>
        <cfvo type="min"/>
        <cfvo type="max"/>
        <color rgb="FFFFEF9C"/>
        <color rgb="FF63BE7B"/>
      </colorScale>
    </cfRule>
  </conditionalFormatting>
  <conditionalFormatting sqref="Q33:W33">
    <cfRule type="cellIs" dxfId="67" priority="126" operator="greaterThan">
      <formula>7.5</formula>
    </cfRule>
    <cfRule type="colorScale" priority="127">
      <colorScale>
        <cfvo type="min"/>
        <cfvo type="max"/>
        <color rgb="FFFFEF9C"/>
        <color rgb="FF63BE7B"/>
      </colorScale>
    </cfRule>
  </conditionalFormatting>
  <conditionalFormatting sqref="Q34:W34">
    <cfRule type="cellIs" dxfId="66" priority="124" operator="greaterThan">
      <formula>7.5</formula>
    </cfRule>
    <cfRule type="colorScale" priority="125">
      <colorScale>
        <cfvo type="min"/>
        <cfvo type="max"/>
        <color rgb="FFFFEF9C"/>
        <color rgb="FF63BE7B"/>
      </colorScale>
    </cfRule>
  </conditionalFormatting>
  <conditionalFormatting sqref="Q34:W34">
    <cfRule type="cellIs" dxfId="65" priority="122" operator="greaterThan">
      <formula>7.5</formula>
    </cfRule>
    <cfRule type="colorScale" priority="123">
      <colorScale>
        <cfvo type="min"/>
        <cfvo type="max"/>
        <color rgb="FFFFEF9C"/>
        <color rgb="FF63BE7B"/>
      </colorScale>
    </cfRule>
  </conditionalFormatting>
  <conditionalFormatting sqref="Q35:W35">
    <cfRule type="cellIs" dxfId="64" priority="120" operator="greaterThan">
      <formula>7.5</formula>
    </cfRule>
    <cfRule type="colorScale" priority="121">
      <colorScale>
        <cfvo type="min"/>
        <cfvo type="max"/>
        <color rgb="FFFFEF9C"/>
        <color rgb="FF63BE7B"/>
      </colorScale>
    </cfRule>
  </conditionalFormatting>
  <conditionalFormatting sqref="Q35:W35">
    <cfRule type="cellIs" dxfId="63" priority="118" operator="greaterThan">
      <formula>7.5</formula>
    </cfRule>
    <cfRule type="colorScale" priority="119">
      <colorScale>
        <cfvo type="min"/>
        <cfvo type="max"/>
        <color rgb="FFFFEF9C"/>
        <color rgb="FF63BE7B"/>
      </colorScale>
    </cfRule>
  </conditionalFormatting>
  <conditionalFormatting sqref="Q33:W33">
    <cfRule type="cellIs" dxfId="62" priority="116" operator="greaterThan">
      <formula>7.5</formula>
    </cfRule>
    <cfRule type="colorScale" priority="117">
      <colorScale>
        <cfvo type="min"/>
        <cfvo type="max"/>
        <color rgb="FFFFEF9C"/>
        <color rgb="FF63BE7B"/>
      </colorScale>
    </cfRule>
  </conditionalFormatting>
  <conditionalFormatting sqref="Q35:W35">
    <cfRule type="cellIs" dxfId="61" priority="114" operator="greaterThan">
      <formula>7.5</formula>
    </cfRule>
    <cfRule type="colorScale" priority="115">
      <colorScale>
        <cfvo type="min"/>
        <cfvo type="max"/>
        <color rgb="FFFFEF9C"/>
        <color rgb="FF63BE7B"/>
      </colorScale>
    </cfRule>
  </conditionalFormatting>
  <conditionalFormatting sqref="Q35:W35">
    <cfRule type="cellIs" dxfId="60" priority="112" operator="greaterThan">
      <formula>7.5</formula>
    </cfRule>
    <cfRule type="colorScale" priority="113">
      <colorScale>
        <cfvo type="min"/>
        <cfvo type="max"/>
        <color rgb="FFFFEF9C"/>
        <color rgb="FF63BE7B"/>
      </colorScale>
    </cfRule>
  </conditionalFormatting>
  <conditionalFormatting sqref="Q34:W34">
    <cfRule type="cellIs" dxfId="59" priority="110" operator="greaterThan">
      <formula>7.5</formula>
    </cfRule>
    <cfRule type="colorScale" priority="111">
      <colorScale>
        <cfvo type="min"/>
        <cfvo type="max"/>
        <color rgb="FFFFEF9C"/>
        <color rgb="FF63BE7B"/>
      </colorScale>
    </cfRule>
  </conditionalFormatting>
  <conditionalFormatting sqref="Q34:W34">
    <cfRule type="cellIs" dxfId="58" priority="108" operator="greaterThan">
      <formula>7.5</formula>
    </cfRule>
    <cfRule type="colorScale" priority="109">
      <colorScale>
        <cfvo type="min"/>
        <cfvo type="max"/>
        <color rgb="FFFFEF9C"/>
        <color rgb="FF63BE7B"/>
      </colorScale>
    </cfRule>
  </conditionalFormatting>
  <conditionalFormatting sqref="Q34:W34">
    <cfRule type="cellIs" dxfId="57" priority="106" operator="greaterThan">
      <formula>7.5</formula>
    </cfRule>
    <cfRule type="colorScale" priority="107">
      <colorScale>
        <cfvo type="min"/>
        <cfvo type="max"/>
        <color rgb="FFFFEF9C"/>
        <color rgb="FF63BE7B"/>
      </colorScale>
    </cfRule>
  </conditionalFormatting>
  <conditionalFormatting sqref="Q34:W34">
    <cfRule type="cellIs" dxfId="56" priority="104" operator="greaterThan">
      <formula>7.5</formula>
    </cfRule>
    <cfRule type="colorScale" priority="105">
      <colorScale>
        <cfvo type="min"/>
        <cfvo type="max"/>
        <color rgb="FFFFEF9C"/>
        <color rgb="FF63BE7B"/>
      </colorScale>
    </cfRule>
  </conditionalFormatting>
  <conditionalFormatting sqref="Q33:W33">
    <cfRule type="cellIs" dxfId="55" priority="102" operator="greaterThan">
      <formula>7.5</formula>
    </cfRule>
    <cfRule type="colorScale" priority="103">
      <colorScale>
        <cfvo type="min"/>
        <cfvo type="max"/>
        <color rgb="FFFFEF9C"/>
        <color rgb="FF63BE7B"/>
      </colorScale>
    </cfRule>
  </conditionalFormatting>
  <conditionalFormatting sqref="Q33:W33">
    <cfRule type="cellIs" dxfId="54" priority="100" operator="greaterThan">
      <formula>7.5</formula>
    </cfRule>
    <cfRule type="colorScale" priority="101">
      <colorScale>
        <cfvo type="min"/>
        <cfvo type="max"/>
        <color rgb="FFFFEF9C"/>
        <color rgb="FF63BE7B"/>
      </colorScale>
    </cfRule>
  </conditionalFormatting>
  <conditionalFormatting sqref="Q35:W35">
    <cfRule type="cellIs" dxfId="53" priority="98" operator="greaterThan">
      <formula>7.5</formula>
    </cfRule>
    <cfRule type="colorScale" priority="99">
      <colorScale>
        <cfvo type="min"/>
        <cfvo type="max"/>
        <color rgb="FFFFEF9C"/>
        <color rgb="FF63BE7B"/>
      </colorScale>
    </cfRule>
  </conditionalFormatting>
  <conditionalFormatting sqref="Q35:W35">
    <cfRule type="cellIs" dxfId="52" priority="96" operator="greaterThan">
      <formula>7.5</formula>
    </cfRule>
    <cfRule type="colorScale" priority="97">
      <colorScale>
        <cfvo type="min"/>
        <cfvo type="max"/>
        <color rgb="FFFFEF9C"/>
        <color rgb="FF63BE7B"/>
      </colorScale>
    </cfRule>
  </conditionalFormatting>
  <conditionalFormatting sqref="Q32:W32">
    <cfRule type="cellIs" dxfId="51" priority="94" operator="greaterThan">
      <formula>7.5</formula>
    </cfRule>
    <cfRule type="colorScale" priority="95">
      <colorScale>
        <cfvo type="min"/>
        <cfvo type="max"/>
        <color rgb="FFFFEF9C"/>
        <color rgb="FF63BE7B"/>
      </colorScale>
    </cfRule>
  </conditionalFormatting>
  <conditionalFormatting sqref="Q32:W32">
    <cfRule type="cellIs" dxfId="50" priority="92" operator="greaterThan">
      <formula>7.5</formula>
    </cfRule>
    <cfRule type="colorScale" priority="93">
      <colorScale>
        <cfvo type="min"/>
        <cfvo type="max"/>
        <color rgb="FFFFEF9C"/>
        <color rgb="FF63BE7B"/>
      </colorScale>
    </cfRule>
  </conditionalFormatting>
  <conditionalFormatting sqref="Q33:W33">
    <cfRule type="cellIs" dxfId="49" priority="90" operator="greaterThan">
      <formula>7.5</formula>
    </cfRule>
    <cfRule type="colorScale" priority="91">
      <colorScale>
        <cfvo type="min"/>
        <cfvo type="max"/>
        <color rgb="FFFFEF9C"/>
        <color rgb="FF63BE7B"/>
      </colorScale>
    </cfRule>
  </conditionalFormatting>
  <conditionalFormatting sqref="Q33:W33">
    <cfRule type="cellIs" dxfId="48" priority="88" operator="greaterThan">
      <formula>7.5</formula>
    </cfRule>
    <cfRule type="colorScale" priority="89">
      <colorScale>
        <cfvo type="min"/>
        <cfvo type="max"/>
        <color rgb="FFFFEF9C"/>
        <color rgb="FF63BE7B"/>
      </colorScale>
    </cfRule>
  </conditionalFormatting>
  <conditionalFormatting sqref="Q32:W32">
    <cfRule type="cellIs" dxfId="47" priority="86" operator="greaterThan">
      <formula>7.5</formula>
    </cfRule>
    <cfRule type="colorScale" priority="87">
      <colorScale>
        <cfvo type="min"/>
        <cfvo type="max"/>
        <color rgb="FFFFEF9C"/>
        <color rgb="FF63BE7B"/>
      </colorScale>
    </cfRule>
  </conditionalFormatting>
  <conditionalFormatting sqref="Q32:W32">
    <cfRule type="cellIs" dxfId="46" priority="84" operator="greaterThan">
      <formula>7.5</formula>
    </cfRule>
    <cfRule type="colorScale" priority="85">
      <colorScale>
        <cfvo type="min"/>
        <cfvo type="max"/>
        <color rgb="FFFFEF9C"/>
        <color rgb="FF63BE7B"/>
      </colorScale>
    </cfRule>
  </conditionalFormatting>
  <conditionalFormatting sqref="Q34:W34">
    <cfRule type="cellIs" dxfId="45" priority="82" operator="greaterThan">
      <formula>7.5</formula>
    </cfRule>
    <cfRule type="colorScale" priority="83">
      <colorScale>
        <cfvo type="min"/>
        <cfvo type="max"/>
        <color rgb="FFFFEF9C"/>
        <color rgb="FF63BE7B"/>
      </colorScale>
    </cfRule>
  </conditionalFormatting>
  <conditionalFormatting sqref="Q34:W34">
    <cfRule type="cellIs" dxfId="44" priority="80" operator="greaterThan">
      <formula>7.5</formula>
    </cfRule>
    <cfRule type="colorScale" priority="81">
      <colorScale>
        <cfvo type="min"/>
        <cfvo type="max"/>
        <color rgb="FFFFEF9C"/>
        <color rgb="FF63BE7B"/>
      </colorScale>
    </cfRule>
  </conditionalFormatting>
  <conditionalFormatting sqref="Q32:W32">
    <cfRule type="cellIs" dxfId="43" priority="78" operator="greaterThan">
      <formula>7.5</formula>
    </cfRule>
    <cfRule type="colorScale" priority="79">
      <colorScale>
        <cfvo type="min"/>
        <cfvo type="max"/>
        <color rgb="FFFFEF9C"/>
        <color rgb="FF63BE7B"/>
      </colorScale>
    </cfRule>
  </conditionalFormatting>
  <conditionalFormatting sqref="Q32:W32">
    <cfRule type="cellIs" dxfId="42" priority="76" operator="greaterThan">
      <formula>7.5</formula>
    </cfRule>
    <cfRule type="colorScale" priority="77">
      <colorScale>
        <cfvo type="min"/>
        <cfvo type="max"/>
        <color rgb="FFFFEF9C"/>
        <color rgb="FF63BE7B"/>
      </colorScale>
    </cfRule>
  </conditionalFormatting>
  <conditionalFormatting sqref="Q33:W33">
    <cfRule type="cellIs" dxfId="41" priority="74" operator="greaterThan">
      <formula>7.5</formula>
    </cfRule>
    <cfRule type="colorScale" priority="75">
      <colorScale>
        <cfvo type="min"/>
        <cfvo type="max"/>
        <color rgb="FFFFEF9C"/>
        <color rgb="FF63BE7B"/>
      </colorScale>
    </cfRule>
  </conditionalFormatting>
  <conditionalFormatting sqref="Q33:W33">
    <cfRule type="cellIs" dxfId="40" priority="72" operator="greaterThan">
      <formula>7.5</formula>
    </cfRule>
    <cfRule type="colorScale" priority="73">
      <colorScale>
        <cfvo type="min"/>
        <cfvo type="max"/>
        <color rgb="FFFFEF9C"/>
        <color rgb="FF63BE7B"/>
      </colorScale>
    </cfRule>
  </conditionalFormatting>
  <conditionalFormatting sqref="Q34:W34">
    <cfRule type="cellIs" dxfId="39" priority="70" operator="greaterThan">
      <formula>7.5</formula>
    </cfRule>
    <cfRule type="colorScale" priority="71">
      <colorScale>
        <cfvo type="min"/>
        <cfvo type="max"/>
        <color rgb="FFFFEF9C"/>
        <color rgb="FF63BE7B"/>
      </colorScale>
    </cfRule>
  </conditionalFormatting>
  <conditionalFormatting sqref="Q34:W34">
    <cfRule type="cellIs" dxfId="38" priority="68" operator="greaterThan">
      <formula>7.5</formula>
    </cfRule>
    <cfRule type="colorScale" priority="69">
      <colorScale>
        <cfvo type="min"/>
        <cfvo type="max"/>
        <color rgb="FFFFEF9C"/>
        <color rgb="FF63BE7B"/>
      </colorScale>
    </cfRule>
  </conditionalFormatting>
  <conditionalFormatting sqref="Q32:W32">
    <cfRule type="cellIs" dxfId="37" priority="66" operator="greaterThan">
      <formula>7.5</formula>
    </cfRule>
    <cfRule type="colorScale" priority="67">
      <colorScale>
        <cfvo type="min"/>
        <cfvo type="max"/>
        <color rgb="FFFFEF9C"/>
        <color rgb="FF63BE7B"/>
      </colorScale>
    </cfRule>
  </conditionalFormatting>
  <conditionalFormatting sqref="Q34:W34">
    <cfRule type="cellIs" dxfId="36" priority="64" operator="greaterThan">
      <formula>7.5</formula>
    </cfRule>
    <cfRule type="colorScale" priority="65">
      <colorScale>
        <cfvo type="min"/>
        <cfvo type="max"/>
        <color rgb="FFFFEF9C"/>
        <color rgb="FF63BE7B"/>
      </colorScale>
    </cfRule>
  </conditionalFormatting>
  <conditionalFormatting sqref="Q34:W34">
    <cfRule type="cellIs" dxfId="35" priority="62" operator="greaterThan">
      <formula>7.5</formula>
    </cfRule>
    <cfRule type="colorScale" priority="63">
      <colorScale>
        <cfvo type="min"/>
        <cfvo type="max"/>
        <color rgb="FFFFEF9C"/>
        <color rgb="FF63BE7B"/>
      </colorScale>
    </cfRule>
  </conditionalFormatting>
  <conditionalFormatting sqref="Q33:W33">
    <cfRule type="cellIs" dxfId="34" priority="60" operator="greaterThan">
      <formula>7.5</formula>
    </cfRule>
    <cfRule type="colorScale" priority="61">
      <colorScale>
        <cfvo type="min"/>
        <cfvo type="max"/>
        <color rgb="FFFFEF9C"/>
        <color rgb="FF63BE7B"/>
      </colorScale>
    </cfRule>
  </conditionalFormatting>
  <conditionalFormatting sqref="Q33:W33">
    <cfRule type="cellIs" dxfId="33" priority="58" operator="greaterThan">
      <formula>7.5</formula>
    </cfRule>
    <cfRule type="colorScale" priority="59">
      <colorScale>
        <cfvo type="min"/>
        <cfvo type="max"/>
        <color rgb="FFFFEF9C"/>
        <color rgb="FF63BE7B"/>
      </colorScale>
    </cfRule>
  </conditionalFormatting>
  <conditionalFormatting sqref="Q35:W35">
    <cfRule type="cellIs" dxfId="32" priority="56" operator="greaterThan">
      <formula>7.5</formula>
    </cfRule>
    <cfRule type="colorScale" priority="57">
      <colorScale>
        <cfvo type="min"/>
        <cfvo type="max"/>
        <color rgb="FFFFEF9C"/>
        <color rgb="FF63BE7B"/>
      </colorScale>
    </cfRule>
  </conditionalFormatting>
  <conditionalFormatting sqref="Q35:W35">
    <cfRule type="cellIs" dxfId="31" priority="54" operator="greaterThan">
      <formula>7.5</formula>
    </cfRule>
    <cfRule type="colorScale" priority="55">
      <colorScale>
        <cfvo type="min"/>
        <cfvo type="max"/>
        <color rgb="FFFFEF9C"/>
        <color rgb="FF63BE7B"/>
      </colorScale>
    </cfRule>
  </conditionalFormatting>
  <conditionalFormatting sqref="Q33:W33">
    <cfRule type="cellIs" dxfId="30" priority="52" operator="greaterThan">
      <formula>7.5</formula>
    </cfRule>
    <cfRule type="colorScale" priority="53">
      <colorScale>
        <cfvo type="min"/>
        <cfvo type="max"/>
        <color rgb="FFFFEF9C"/>
        <color rgb="FF63BE7B"/>
      </colorScale>
    </cfRule>
  </conditionalFormatting>
  <conditionalFormatting sqref="Q33:W33">
    <cfRule type="cellIs" dxfId="29" priority="50" operator="greaterThan">
      <formula>7.5</formula>
    </cfRule>
    <cfRule type="colorScale" priority="51">
      <colorScale>
        <cfvo type="min"/>
        <cfvo type="max"/>
        <color rgb="FFFFEF9C"/>
        <color rgb="FF63BE7B"/>
      </colorScale>
    </cfRule>
  </conditionalFormatting>
  <conditionalFormatting sqref="Q32:W32">
    <cfRule type="cellIs" dxfId="28" priority="48" operator="greaterThan">
      <formula>7.5</formula>
    </cfRule>
    <cfRule type="colorScale" priority="49">
      <colorScale>
        <cfvo type="min"/>
        <cfvo type="max"/>
        <color rgb="FFFFEF9C"/>
        <color rgb="FF63BE7B"/>
      </colorScale>
    </cfRule>
  </conditionalFormatting>
  <conditionalFormatting sqref="Q32:W32">
    <cfRule type="cellIs" dxfId="27" priority="46" operator="greaterThan">
      <formula>7.5</formula>
    </cfRule>
    <cfRule type="colorScale" priority="47">
      <colorScale>
        <cfvo type="min"/>
        <cfvo type="max"/>
        <color rgb="FFFFEF9C"/>
        <color rgb="FF63BE7B"/>
      </colorScale>
    </cfRule>
  </conditionalFormatting>
  <conditionalFormatting sqref="Q34:W34">
    <cfRule type="cellIs" dxfId="26" priority="44" operator="greaterThan">
      <formula>7.5</formula>
    </cfRule>
    <cfRule type="colorScale" priority="45">
      <colorScale>
        <cfvo type="min"/>
        <cfvo type="max"/>
        <color rgb="FFFFEF9C"/>
        <color rgb="FF63BE7B"/>
      </colorScale>
    </cfRule>
  </conditionalFormatting>
  <conditionalFormatting sqref="Q34:W34">
    <cfRule type="cellIs" dxfId="25" priority="42" operator="greaterThan">
      <formula>7.5</formula>
    </cfRule>
    <cfRule type="colorScale" priority="43">
      <colorScale>
        <cfvo type="min"/>
        <cfvo type="max"/>
        <color rgb="FFFFEF9C"/>
        <color rgb="FF63BE7B"/>
      </colorScale>
    </cfRule>
  </conditionalFormatting>
  <conditionalFormatting sqref="Q35:W35">
    <cfRule type="cellIs" dxfId="24" priority="40" operator="greaterThan">
      <formula>7.5</formula>
    </cfRule>
    <cfRule type="colorScale" priority="41">
      <colorScale>
        <cfvo type="min"/>
        <cfvo type="max"/>
        <color rgb="FFFFEF9C"/>
        <color rgb="FF63BE7B"/>
      </colorScale>
    </cfRule>
  </conditionalFormatting>
  <conditionalFormatting sqref="Q35:W35">
    <cfRule type="cellIs" dxfId="23" priority="38" operator="greaterThan">
      <formula>7.5</formula>
    </cfRule>
    <cfRule type="colorScale" priority="39">
      <colorScale>
        <cfvo type="min"/>
        <cfvo type="max"/>
        <color rgb="FFFFEF9C"/>
        <color rgb="FF63BE7B"/>
      </colorScale>
    </cfRule>
  </conditionalFormatting>
  <conditionalFormatting sqref="Q37:W37">
    <cfRule type="cellIs" dxfId="22" priority="36" operator="greaterThan">
      <formula>7.5</formula>
    </cfRule>
    <cfRule type="colorScale" priority="37">
      <colorScale>
        <cfvo type="min"/>
        <cfvo type="max"/>
        <color rgb="FFFFEF9C"/>
        <color rgb="FF63BE7B"/>
      </colorScale>
    </cfRule>
  </conditionalFormatting>
  <conditionalFormatting sqref="Q37:W37">
    <cfRule type="cellIs" dxfId="21" priority="34" operator="greaterThan">
      <formula>7.5</formula>
    </cfRule>
    <cfRule type="colorScale" priority="35">
      <colorScale>
        <cfvo type="min"/>
        <cfvo type="max"/>
        <color rgb="FFFFEF9C"/>
        <color rgb="FF63BE7B"/>
      </colorScale>
    </cfRule>
  </conditionalFormatting>
  <conditionalFormatting sqref="Q37:W37">
    <cfRule type="cellIs" dxfId="20" priority="32" operator="greaterThan">
      <formula>7.5</formula>
    </cfRule>
    <cfRule type="colorScale" priority="33">
      <colorScale>
        <cfvo type="min"/>
        <cfvo type="max"/>
        <color rgb="FFFFEF9C"/>
        <color rgb="FF63BE7B"/>
      </colorScale>
    </cfRule>
  </conditionalFormatting>
  <conditionalFormatting sqref="Q37:W37">
    <cfRule type="cellIs" dxfId="19" priority="30" operator="greaterThan">
      <formula>7.5</formula>
    </cfRule>
    <cfRule type="colorScale" priority="31">
      <colorScale>
        <cfvo type="min"/>
        <cfvo type="max"/>
        <color rgb="FFFFEF9C"/>
        <color rgb="FF63BE7B"/>
      </colorScale>
    </cfRule>
  </conditionalFormatting>
  <conditionalFormatting sqref="Q37:W37">
    <cfRule type="cellIs" dxfId="18" priority="28" operator="greaterThan">
      <formula>7.5</formula>
    </cfRule>
    <cfRule type="colorScale" priority="29">
      <colorScale>
        <cfvo type="min"/>
        <cfvo type="max"/>
        <color rgb="FFFFEF9C"/>
        <color rgb="FF63BE7B"/>
      </colorScale>
    </cfRule>
  </conditionalFormatting>
  <conditionalFormatting sqref="Q37:W37">
    <cfRule type="cellIs" dxfId="17" priority="26" operator="greaterThan">
      <formula>7.5</formula>
    </cfRule>
    <cfRule type="colorScale" priority="27">
      <colorScale>
        <cfvo type="min"/>
        <cfvo type="max"/>
        <color rgb="FFFFEF9C"/>
        <color rgb="FF63BE7B"/>
      </colorScale>
    </cfRule>
  </conditionalFormatting>
  <conditionalFormatting sqref="Q37:W37">
    <cfRule type="cellIs" dxfId="16" priority="24" operator="greaterThan">
      <formula>7.5</formula>
    </cfRule>
    <cfRule type="colorScale" priority="25">
      <colorScale>
        <cfvo type="min"/>
        <cfvo type="max"/>
        <color rgb="FFFFEF9C"/>
        <color rgb="FF63BE7B"/>
      </colorScale>
    </cfRule>
  </conditionalFormatting>
  <conditionalFormatting sqref="Q37:W37">
    <cfRule type="cellIs" dxfId="15" priority="22" operator="greaterThan">
      <formula>7.5</formula>
    </cfRule>
    <cfRule type="colorScale" priority="23">
      <colorScale>
        <cfvo type="min"/>
        <cfvo type="max"/>
        <color rgb="FFFFEF9C"/>
        <color rgb="FF63BE7B"/>
      </colorScale>
    </cfRule>
  </conditionalFormatting>
  <conditionalFormatting sqref="Q37:W37">
    <cfRule type="cellIs" dxfId="14" priority="20" operator="greaterThan">
      <formula>7.5</formula>
    </cfRule>
    <cfRule type="colorScale" priority="21">
      <colorScale>
        <cfvo type="min"/>
        <cfvo type="max"/>
        <color rgb="FFFFEF9C"/>
        <color rgb="FF63BE7B"/>
      </colorScale>
    </cfRule>
  </conditionalFormatting>
  <conditionalFormatting sqref="Q37:W37">
    <cfRule type="cellIs" dxfId="13" priority="18" operator="greaterThan">
      <formula>7.5</formula>
    </cfRule>
    <cfRule type="colorScale" priority="19">
      <colorScale>
        <cfvo type="min"/>
        <cfvo type="max"/>
        <color rgb="FFFFEF9C"/>
        <color rgb="FF63BE7B"/>
      </colorScale>
    </cfRule>
  </conditionalFormatting>
  <conditionalFormatting sqref="Q37:W37">
    <cfRule type="cellIs" dxfId="12" priority="16" operator="greaterThan">
      <formula>7.5</formula>
    </cfRule>
    <cfRule type="colorScale" priority="17">
      <colorScale>
        <cfvo type="min"/>
        <cfvo type="max"/>
        <color rgb="FFFFEF9C"/>
        <color rgb="FF63BE7B"/>
      </colorScale>
    </cfRule>
  </conditionalFormatting>
  <conditionalFormatting sqref="Q37:W37">
    <cfRule type="cellIs" dxfId="11" priority="14" operator="greaterThan">
      <formula>7.5</formula>
    </cfRule>
    <cfRule type="colorScale" priority="15">
      <colorScale>
        <cfvo type="min"/>
        <cfvo type="max"/>
        <color rgb="FFFFEF9C"/>
        <color rgb="FF63BE7B"/>
      </colorScale>
    </cfRule>
  </conditionalFormatting>
  <conditionalFormatting sqref="Q37:W37">
    <cfRule type="cellIs" dxfId="10" priority="12" operator="greaterThan">
      <formula>7.5</formula>
    </cfRule>
    <cfRule type="colorScale" priority="13">
      <colorScale>
        <cfvo type="min"/>
        <cfvo type="max"/>
        <color rgb="FFFFEF9C"/>
        <color rgb="FF63BE7B"/>
      </colorScale>
    </cfRule>
  </conditionalFormatting>
  <conditionalFormatting sqref="Q37:W37">
    <cfRule type="cellIs" dxfId="9" priority="10" operator="greaterThan">
      <formula>7.5</formula>
    </cfRule>
    <cfRule type="colorScale" priority="11">
      <colorScale>
        <cfvo type="min"/>
        <cfvo type="max"/>
        <color rgb="FFFFEF9C"/>
        <color rgb="FF63BE7B"/>
      </colorScale>
    </cfRule>
  </conditionalFormatting>
  <conditionalFormatting sqref="Q37:W37">
    <cfRule type="cellIs" dxfId="8" priority="8" operator="greaterThan">
      <formula>7.5</formula>
    </cfRule>
    <cfRule type="colorScale" priority="9">
      <colorScale>
        <cfvo type="min"/>
        <cfvo type="max"/>
        <color rgb="FFFFEF9C"/>
        <color rgb="FF63BE7B"/>
      </colorScale>
    </cfRule>
  </conditionalFormatting>
  <conditionalFormatting sqref="Q37:W37">
    <cfRule type="cellIs" dxfId="7" priority="6" operator="greaterThan">
      <formula>7.5</formula>
    </cfRule>
    <cfRule type="colorScale" priority="7">
      <colorScale>
        <cfvo type="min"/>
        <cfvo type="max"/>
        <color rgb="FFFFEF9C"/>
        <color rgb="FF63BE7B"/>
      </colorScale>
    </cfRule>
  </conditionalFormatting>
  <conditionalFormatting sqref="Q37:W37">
    <cfRule type="cellIs" dxfId="6" priority="4" operator="greaterThan">
      <formula>7.5</formula>
    </cfRule>
    <cfRule type="colorScale" priority="5">
      <colorScale>
        <cfvo type="min"/>
        <cfvo type="max"/>
        <color rgb="FFFFEF9C"/>
        <color rgb="FF63BE7B"/>
      </colorScale>
    </cfRule>
  </conditionalFormatting>
  <conditionalFormatting sqref="Q37:W37">
    <cfRule type="cellIs" dxfId="5" priority="2" operator="greaterThan">
      <formula>7.5</formula>
    </cfRule>
    <cfRule type="colorScale" priority="3">
      <colorScale>
        <cfvo type="min"/>
        <cfvo type="max"/>
        <color rgb="FFFFEF9C"/>
        <color rgb="FF63BE7B"/>
      </colorScale>
    </cfRule>
  </conditionalFormatting>
  <conditionalFormatting sqref="X20:X37">
    <cfRule type="cellIs" dxfId="4" priority="1" operator="greaterThan">
      <formula>3.2</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O42"/>
  <sheetViews>
    <sheetView workbookViewId="0">
      <selection activeCell="N14" sqref="N14"/>
    </sheetView>
  </sheetViews>
  <sheetFormatPr baseColWidth="10" defaultColWidth="11.42578125" defaultRowHeight="15" x14ac:dyDescent="0.25"/>
  <cols>
    <col min="1" max="1" width="20.140625" bestFit="1" customWidth="1"/>
    <col min="2" max="2" width="5.28515625" bestFit="1" customWidth="1"/>
    <col min="3" max="3" width="8.28515625" bestFit="1" customWidth="1"/>
    <col min="4" max="4" width="7.28515625" bestFit="1" customWidth="1"/>
    <col min="5" max="5" width="8.28515625" bestFit="1" customWidth="1"/>
    <col min="6" max="6" width="9.7109375" bestFit="1" customWidth="1"/>
    <col min="7" max="7" width="6.28515625" customWidth="1"/>
    <col min="9" max="9" width="21.85546875" customWidth="1"/>
    <col min="10" max="10" width="9.140625" customWidth="1"/>
    <col min="11" max="11" width="8.28515625" customWidth="1"/>
    <col min="12" max="12" width="22.42578125" customWidth="1"/>
    <col min="13" max="13" width="5" customWidth="1"/>
    <col min="14" max="14" width="12.5703125" customWidth="1"/>
    <col min="15" max="15" width="12.5703125" bestFit="1" customWidth="1"/>
  </cols>
  <sheetData>
    <row r="1" spans="1:15" s="2" customFormat="1" x14ac:dyDescent="0.25">
      <c r="A1" s="2" t="s">
        <v>1301</v>
      </c>
      <c r="B1" s="2" t="s">
        <v>292</v>
      </c>
      <c r="C1" s="2" t="s">
        <v>1488</v>
      </c>
      <c r="D1" s="2" t="s">
        <v>1242</v>
      </c>
      <c r="E1" s="2" t="s">
        <v>1490</v>
      </c>
      <c r="F1" s="2" t="s">
        <v>2315</v>
      </c>
      <c r="I1" s="618" t="s">
        <v>2330</v>
      </c>
      <c r="J1"/>
      <c r="K1"/>
      <c r="L1" s="618" t="s">
        <v>2328</v>
      </c>
      <c r="M1"/>
      <c r="N1"/>
      <c r="O1" t="s">
        <v>1009</v>
      </c>
    </row>
    <row r="2" spans="1:15" x14ac:dyDescent="0.25">
      <c r="A2">
        <v>1</v>
      </c>
      <c r="B2">
        <v>19</v>
      </c>
      <c r="C2" t="s">
        <v>2306</v>
      </c>
      <c r="D2" s="158" t="s">
        <v>2311</v>
      </c>
      <c r="E2" s="158" t="s">
        <v>2305</v>
      </c>
      <c r="F2">
        <v>350</v>
      </c>
      <c r="I2" s="618" t="s">
        <v>2329</v>
      </c>
      <c r="J2" s="618" t="s">
        <v>1242</v>
      </c>
      <c r="K2" s="618" t="s">
        <v>1490</v>
      </c>
      <c r="L2">
        <v>19</v>
      </c>
      <c r="M2">
        <v>20</v>
      </c>
      <c r="O2" t="s">
        <v>2332</v>
      </c>
    </row>
    <row r="3" spans="1:15" x14ac:dyDescent="0.25">
      <c r="A3">
        <v>1</v>
      </c>
      <c r="B3">
        <v>19</v>
      </c>
      <c r="C3" t="s">
        <v>2306</v>
      </c>
      <c r="D3" t="s">
        <v>2307</v>
      </c>
      <c r="E3" t="s">
        <v>2308</v>
      </c>
      <c r="F3">
        <v>455</v>
      </c>
      <c r="I3" s="617" t="s">
        <v>2303</v>
      </c>
      <c r="J3" s="617" t="s">
        <v>2311</v>
      </c>
      <c r="K3" s="617" t="s">
        <v>2305</v>
      </c>
      <c r="L3" s="59"/>
      <c r="M3" s="59">
        <v>105</v>
      </c>
      <c r="O3" t="s">
        <v>2333</v>
      </c>
    </row>
    <row r="4" spans="1:15" x14ac:dyDescent="0.25">
      <c r="A4">
        <v>1</v>
      </c>
      <c r="B4">
        <v>19</v>
      </c>
      <c r="C4" t="s">
        <v>2306</v>
      </c>
      <c r="D4" s="158" t="s">
        <v>2304</v>
      </c>
      <c r="E4" s="158" t="s">
        <v>2323</v>
      </c>
      <c r="F4">
        <v>375</v>
      </c>
      <c r="J4" s="617" t="s">
        <v>2304</v>
      </c>
      <c r="K4" s="617" t="s">
        <v>2305</v>
      </c>
      <c r="L4" s="59"/>
      <c r="M4" s="59">
        <v>160</v>
      </c>
    </row>
    <row r="5" spans="1:15" x14ac:dyDescent="0.25">
      <c r="A5">
        <v>1</v>
      </c>
      <c r="B5">
        <v>19</v>
      </c>
      <c r="C5" t="s">
        <v>2306</v>
      </c>
      <c r="D5" s="158" t="s">
        <v>2319</v>
      </c>
      <c r="E5" s="158" t="s">
        <v>2305</v>
      </c>
      <c r="F5">
        <v>420</v>
      </c>
      <c r="J5" s="617" t="s">
        <v>2319</v>
      </c>
      <c r="K5" s="617" t="s">
        <v>2326</v>
      </c>
      <c r="L5" s="59"/>
      <c r="M5" s="59">
        <v>300</v>
      </c>
    </row>
    <row r="6" spans="1:15" x14ac:dyDescent="0.25">
      <c r="A6" s="158">
        <v>1</v>
      </c>
      <c r="B6">
        <v>19</v>
      </c>
      <c r="C6" t="s">
        <v>2306</v>
      </c>
      <c r="D6" s="158" t="s">
        <v>2321</v>
      </c>
      <c r="E6" s="158" t="s">
        <v>2305</v>
      </c>
      <c r="F6">
        <v>600</v>
      </c>
      <c r="I6" s="617" t="s">
        <v>2306</v>
      </c>
      <c r="J6" s="617" t="s">
        <v>2311</v>
      </c>
      <c r="K6" s="617" t="s">
        <v>2305</v>
      </c>
      <c r="L6" s="59">
        <v>350</v>
      </c>
      <c r="M6" s="59"/>
    </row>
    <row r="7" spans="1:15" x14ac:dyDescent="0.25">
      <c r="A7" s="158">
        <v>1</v>
      </c>
      <c r="B7">
        <v>19</v>
      </c>
      <c r="C7" t="s">
        <v>2306</v>
      </c>
      <c r="D7" s="158" t="s">
        <v>2312</v>
      </c>
      <c r="E7" s="158" t="s">
        <v>2305</v>
      </c>
      <c r="F7">
        <v>900</v>
      </c>
      <c r="K7" s="617" t="s">
        <v>2323</v>
      </c>
      <c r="L7" s="59"/>
      <c r="M7" s="59">
        <v>315</v>
      </c>
    </row>
    <row r="8" spans="1:15" x14ac:dyDescent="0.25">
      <c r="A8">
        <v>1</v>
      </c>
      <c r="B8">
        <v>19</v>
      </c>
      <c r="C8" t="s">
        <v>2309</v>
      </c>
      <c r="D8" s="158" t="s">
        <v>2311</v>
      </c>
      <c r="E8" s="158" t="s">
        <v>2327</v>
      </c>
      <c r="F8">
        <v>760</v>
      </c>
      <c r="J8" s="617" t="s">
        <v>2307</v>
      </c>
      <c r="K8" s="617" t="s">
        <v>2305</v>
      </c>
      <c r="L8" s="59"/>
      <c r="M8" s="59">
        <v>400</v>
      </c>
    </row>
    <row r="9" spans="1:15" x14ac:dyDescent="0.25">
      <c r="A9">
        <v>1</v>
      </c>
      <c r="B9">
        <v>19</v>
      </c>
      <c r="C9" t="s">
        <v>2309</v>
      </c>
      <c r="D9" s="158" t="s">
        <v>2304</v>
      </c>
      <c r="E9" s="158" t="s">
        <v>2305</v>
      </c>
      <c r="F9">
        <v>610</v>
      </c>
      <c r="K9" s="617" t="s">
        <v>2316</v>
      </c>
      <c r="L9" s="59"/>
      <c r="M9" s="59">
        <v>500</v>
      </c>
    </row>
    <row r="10" spans="1:15" x14ac:dyDescent="0.25">
      <c r="A10" s="158">
        <v>1</v>
      </c>
      <c r="B10">
        <v>19</v>
      </c>
      <c r="C10" t="s">
        <v>2309</v>
      </c>
      <c r="D10" s="158" t="s">
        <v>2317</v>
      </c>
      <c r="E10" s="158" t="s">
        <v>2318</v>
      </c>
      <c r="F10">
        <v>1150</v>
      </c>
      <c r="K10" s="617" t="s">
        <v>2308</v>
      </c>
      <c r="L10" s="59">
        <v>455</v>
      </c>
      <c r="M10" s="59"/>
    </row>
    <row r="11" spans="1:15" x14ac:dyDescent="0.25">
      <c r="A11" s="158">
        <v>1</v>
      </c>
      <c r="B11">
        <v>19</v>
      </c>
      <c r="C11" t="s">
        <v>2320</v>
      </c>
      <c r="D11" s="158" t="s">
        <v>2311</v>
      </c>
      <c r="E11" s="158" t="s">
        <v>2305</v>
      </c>
      <c r="F11">
        <v>935</v>
      </c>
      <c r="J11" s="617" t="s">
        <v>2304</v>
      </c>
      <c r="K11" s="617" t="s">
        <v>2305</v>
      </c>
      <c r="L11" s="59"/>
      <c r="M11" s="59">
        <v>400</v>
      </c>
    </row>
    <row r="12" spans="1:15" x14ac:dyDescent="0.25">
      <c r="A12" s="158">
        <v>1</v>
      </c>
      <c r="B12">
        <v>19</v>
      </c>
      <c r="C12" t="s">
        <v>2320</v>
      </c>
      <c r="D12" s="158" t="s">
        <v>2311</v>
      </c>
      <c r="E12" s="158" t="s">
        <v>2310</v>
      </c>
      <c r="F12">
        <v>960</v>
      </c>
      <c r="K12" s="617" t="s">
        <v>2323</v>
      </c>
      <c r="L12" s="59">
        <v>375</v>
      </c>
      <c r="M12" s="59"/>
    </row>
    <row r="13" spans="1:15" x14ac:dyDescent="0.25">
      <c r="A13" s="158">
        <v>1</v>
      </c>
      <c r="B13">
        <v>19</v>
      </c>
      <c r="C13" t="s">
        <v>2320</v>
      </c>
      <c r="D13" s="158" t="s">
        <v>2304</v>
      </c>
      <c r="E13" s="158" t="s">
        <v>2305</v>
      </c>
      <c r="F13">
        <v>930</v>
      </c>
      <c r="K13" s="617" t="s">
        <v>2326</v>
      </c>
      <c r="L13" s="59">
        <v>500</v>
      </c>
      <c r="M13" s="59"/>
    </row>
    <row r="14" spans="1:15" x14ac:dyDescent="0.25">
      <c r="A14">
        <v>1</v>
      </c>
      <c r="B14">
        <v>19</v>
      </c>
      <c r="C14" t="s">
        <v>2320</v>
      </c>
      <c r="D14" s="158" t="s">
        <v>2319</v>
      </c>
      <c r="E14" s="158" t="s">
        <v>2325</v>
      </c>
      <c r="F14">
        <v>1395</v>
      </c>
      <c r="K14" s="617" t="s">
        <v>2325</v>
      </c>
      <c r="L14" s="59">
        <v>515</v>
      </c>
      <c r="M14" s="59"/>
    </row>
    <row r="15" spans="1:15" x14ac:dyDescent="0.25">
      <c r="A15">
        <v>1</v>
      </c>
      <c r="B15">
        <v>19</v>
      </c>
      <c r="C15" t="s">
        <v>2320</v>
      </c>
      <c r="D15" s="158" t="s">
        <v>2317</v>
      </c>
      <c r="E15" s="158" t="s">
        <v>2305</v>
      </c>
      <c r="F15">
        <v>1200</v>
      </c>
      <c r="K15" s="617" t="s">
        <v>2318</v>
      </c>
      <c r="L15" s="59"/>
      <c r="M15" s="59">
        <v>520</v>
      </c>
    </row>
    <row r="16" spans="1:15" x14ac:dyDescent="0.25">
      <c r="A16">
        <v>1</v>
      </c>
      <c r="B16">
        <v>20</v>
      </c>
      <c r="C16" s="158" t="s">
        <v>2303</v>
      </c>
      <c r="D16" s="158" t="s">
        <v>2311</v>
      </c>
      <c r="E16" s="158" t="s">
        <v>2305</v>
      </c>
      <c r="F16">
        <v>105</v>
      </c>
      <c r="J16" s="617" t="s">
        <v>2319</v>
      </c>
      <c r="K16" s="617" t="s">
        <v>2305</v>
      </c>
      <c r="L16" s="59">
        <v>420</v>
      </c>
      <c r="M16" s="59"/>
    </row>
    <row r="17" spans="1:15" s="158" customFormat="1" x14ac:dyDescent="0.25">
      <c r="A17" s="158">
        <v>1</v>
      </c>
      <c r="B17" s="158">
        <v>20</v>
      </c>
      <c r="C17" s="158" t="s">
        <v>2303</v>
      </c>
      <c r="D17" s="158" t="s">
        <v>2304</v>
      </c>
      <c r="E17" s="158" t="s">
        <v>2305</v>
      </c>
      <c r="F17" s="158">
        <v>160</v>
      </c>
      <c r="I17"/>
      <c r="J17"/>
      <c r="K17" s="617" t="s">
        <v>2326</v>
      </c>
      <c r="L17" s="59"/>
      <c r="M17" s="59">
        <v>600</v>
      </c>
      <c r="N17"/>
      <c r="O17"/>
    </row>
    <row r="18" spans="1:15" x14ac:dyDescent="0.25">
      <c r="A18">
        <v>1</v>
      </c>
      <c r="B18">
        <v>20</v>
      </c>
      <c r="C18" t="s">
        <v>2306</v>
      </c>
      <c r="D18" s="158" t="s">
        <v>2311</v>
      </c>
      <c r="E18" s="158" t="s">
        <v>2323</v>
      </c>
      <c r="F18">
        <v>315</v>
      </c>
      <c r="K18" s="617" t="s">
        <v>2322</v>
      </c>
      <c r="L18" s="59">
        <v>650</v>
      </c>
      <c r="M18" s="59"/>
    </row>
    <row r="19" spans="1:15" x14ac:dyDescent="0.25">
      <c r="A19">
        <v>1</v>
      </c>
      <c r="B19">
        <v>20</v>
      </c>
      <c r="C19" t="s">
        <v>2306</v>
      </c>
      <c r="D19" t="s">
        <v>2307</v>
      </c>
      <c r="E19" s="158" t="s">
        <v>2316</v>
      </c>
      <c r="F19">
        <v>500</v>
      </c>
      <c r="K19" s="617" t="s">
        <v>2325</v>
      </c>
      <c r="L19" s="59"/>
      <c r="M19" s="59">
        <v>600</v>
      </c>
    </row>
    <row r="20" spans="1:15" x14ac:dyDescent="0.25">
      <c r="A20">
        <v>1</v>
      </c>
      <c r="B20">
        <v>20</v>
      </c>
      <c r="C20" t="s">
        <v>2306</v>
      </c>
      <c r="D20" t="s">
        <v>2307</v>
      </c>
      <c r="E20" s="158" t="s">
        <v>2305</v>
      </c>
      <c r="F20">
        <v>400</v>
      </c>
      <c r="J20" s="617" t="s">
        <v>2317</v>
      </c>
      <c r="K20" s="617" t="s">
        <v>2305</v>
      </c>
      <c r="L20" s="59"/>
      <c r="M20" s="59">
        <v>540</v>
      </c>
    </row>
    <row r="21" spans="1:15" x14ac:dyDescent="0.25">
      <c r="A21">
        <v>1</v>
      </c>
      <c r="B21">
        <v>20</v>
      </c>
      <c r="C21" t="s">
        <v>2306</v>
      </c>
      <c r="D21" s="158" t="s">
        <v>2304</v>
      </c>
      <c r="E21" s="158" t="s">
        <v>2305</v>
      </c>
      <c r="F21">
        <v>400</v>
      </c>
      <c r="K21" s="617" t="s">
        <v>2331</v>
      </c>
      <c r="L21" s="59">
        <v>560</v>
      </c>
      <c r="M21" s="59"/>
    </row>
    <row r="22" spans="1:15" x14ac:dyDescent="0.25">
      <c r="A22">
        <v>1</v>
      </c>
      <c r="B22">
        <v>20</v>
      </c>
      <c r="C22" t="s">
        <v>2306</v>
      </c>
      <c r="D22" s="158" t="s">
        <v>2312</v>
      </c>
      <c r="E22" s="158" t="s">
        <v>2305</v>
      </c>
      <c r="F22">
        <v>830</v>
      </c>
      <c r="J22" s="617" t="s">
        <v>2321</v>
      </c>
      <c r="K22" s="617" t="s">
        <v>2305</v>
      </c>
      <c r="L22" s="59">
        <v>600</v>
      </c>
      <c r="M22" s="59"/>
    </row>
    <row r="23" spans="1:15" x14ac:dyDescent="0.25">
      <c r="A23">
        <v>1</v>
      </c>
      <c r="B23">
        <v>20</v>
      </c>
      <c r="C23" t="s">
        <v>2309</v>
      </c>
      <c r="D23" t="s">
        <v>2307</v>
      </c>
      <c r="E23" s="158" t="s">
        <v>2308</v>
      </c>
      <c r="F23">
        <v>710</v>
      </c>
      <c r="J23" s="617" t="s">
        <v>2312</v>
      </c>
      <c r="K23" s="617" t="s">
        <v>2305</v>
      </c>
      <c r="L23" s="59">
        <v>900</v>
      </c>
      <c r="M23" s="59">
        <v>830</v>
      </c>
    </row>
    <row r="24" spans="1:15" x14ac:dyDescent="0.25">
      <c r="A24">
        <v>1</v>
      </c>
      <c r="B24">
        <v>20</v>
      </c>
      <c r="C24" t="s">
        <v>2309</v>
      </c>
      <c r="D24" s="158" t="s">
        <v>2304</v>
      </c>
      <c r="E24" t="s">
        <v>2310</v>
      </c>
      <c r="F24">
        <v>800</v>
      </c>
      <c r="I24" s="617" t="s">
        <v>2309</v>
      </c>
      <c r="J24" s="617" t="s">
        <v>2311</v>
      </c>
      <c r="K24" s="617" t="s">
        <v>2305</v>
      </c>
      <c r="L24" s="59"/>
      <c r="M24" s="59">
        <v>617</v>
      </c>
    </row>
    <row r="25" spans="1:15" x14ac:dyDescent="0.25">
      <c r="A25">
        <v>1</v>
      </c>
      <c r="B25">
        <v>20</v>
      </c>
      <c r="C25" t="s">
        <v>2309</v>
      </c>
      <c r="D25" s="158" t="s">
        <v>2313</v>
      </c>
      <c r="E25" s="158" t="s">
        <v>2314</v>
      </c>
      <c r="F25">
        <v>2050</v>
      </c>
      <c r="K25" s="617" t="s">
        <v>2327</v>
      </c>
      <c r="L25" s="59">
        <v>760</v>
      </c>
      <c r="M25" s="59"/>
    </row>
    <row r="26" spans="1:15" x14ac:dyDescent="0.25">
      <c r="A26">
        <v>1</v>
      </c>
      <c r="B26">
        <v>20</v>
      </c>
      <c r="C26" s="566" t="s">
        <v>2309</v>
      </c>
      <c r="D26" s="158" t="s">
        <v>2304</v>
      </c>
      <c r="E26" s="158" t="s">
        <v>2305</v>
      </c>
      <c r="F26">
        <v>530</v>
      </c>
      <c r="J26" s="617" t="s">
        <v>2307</v>
      </c>
      <c r="K26" s="617" t="s">
        <v>2308</v>
      </c>
      <c r="L26" s="59"/>
      <c r="M26" s="59">
        <v>710</v>
      </c>
    </row>
    <row r="27" spans="1:15" x14ac:dyDescent="0.25">
      <c r="A27">
        <v>1</v>
      </c>
      <c r="B27">
        <v>20</v>
      </c>
      <c r="C27" t="s">
        <v>2320</v>
      </c>
      <c r="D27" s="158" t="s">
        <v>2319</v>
      </c>
      <c r="E27" s="158" t="s">
        <v>2324</v>
      </c>
      <c r="F27">
        <v>1600</v>
      </c>
      <c r="J27" s="617" t="s">
        <v>2304</v>
      </c>
      <c r="K27" s="617" t="s">
        <v>2305</v>
      </c>
      <c r="L27" s="59">
        <v>610</v>
      </c>
      <c r="M27" s="59">
        <v>530</v>
      </c>
    </row>
    <row r="28" spans="1:15" x14ac:dyDescent="0.25">
      <c r="A28">
        <v>1</v>
      </c>
      <c r="B28">
        <v>20</v>
      </c>
      <c r="C28" t="s">
        <v>2320</v>
      </c>
      <c r="D28" s="158" t="s">
        <v>2321</v>
      </c>
      <c r="E28" s="158" t="s">
        <v>2322</v>
      </c>
      <c r="F28">
        <v>1800</v>
      </c>
      <c r="K28" s="617" t="s">
        <v>2310</v>
      </c>
      <c r="L28" s="59"/>
      <c r="M28" s="59">
        <v>800</v>
      </c>
    </row>
    <row r="29" spans="1:15" x14ac:dyDescent="0.25">
      <c r="A29">
        <v>1</v>
      </c>
      <c r="B29">
        <v>20</v>
      </c>
      <c r="C29" t="s">
        <v>2303</v>
      </c>
      <c r="D29" s="158" t="s">
        <v>2319</v>
      </c>
      <c r="E29" s="158" t="s">
        <v>2326</v>
      </c>
      <c r="F29">
        <v>300</v>
      </c>
      <c r="K29" s="617" t="s">
        <v>2325</v>
      </c>
      <c r="L29" s="59">
        <v>800</v>
      </c>
      <c r="M29" s="59"/>
    </row>
    <row r="30" spans="1:15" x14ac:dyDescent="0.25">
      <c r="A30" s="158">
        <v>1</v>
      </c>
      <c r="B30">
        <v>19</v>
      </c>
      <c r="C30" t="s">
        <v>2306</v>
      </c>
      <c r="D30" s="158" t="s">
        <v>2304</v>
      </c>
      <c r="E30" s="158" t="s">
        <v>2326</v>
      </c>
      <c r="F30">
        <v>500</v>
      </c>
      <c r="J30" s="617" t="s">
        <v>2319</v>
      </c>
      <c r="K30" s="617" t="s">
        <v>2305</v>
      </c>
      <c r="L30" s="59"/>
      <c r="M30" s="59">
        <v>700</v>
      </c>
    </row>
    <row r="31" spans="1:15" x14ac:dyDescent="0.25">
      <c r="A31" s="158">
        <v>1</v>
      </c>
      <c r="B31">
        <v>19</v>
      </c>
      <c r="C31" t="s">
        <v>2306</v>
      </c>
      <c r="D31" s="158" t="s">
        <v>2304</v>
      </c>
      <c r="E31" s="158" t="s">
        <v>2325</v>
      </c>
      <c r="F31">
        <v>515</v>
      </c>
      <c r="K31" s="617" t="s">
        <v>2322</v>
      </c>
      <c r="L31" s="59"/>
      <c r="M31" s="59">
        <v>950</v>
      </c>
    </row>
    <row r="32" spans="1:15" x14ac:dyDescent="0.25">
      <c r="A32" s="158">
        <v>1</v>
      </c>
      <c r="B32">
        <v>20</v>
      </c>
      <c r="C32" t="s">
        <v>2306</v>
      </c>
      <c r="D32" s="158" t="s">
        <v>2304</v>
      </c>
      <c r="E32" s="158" t="s">
        <v>2318</v>
      </c>
      <c r="F32">
        <v>520</v>
      </c>
      <c r="K32" s="617" t="s">
        <v>2314</v>
      </c>
      <c r="L32" s="59">
        <v>930</v>
      </c>
      <c r="M32" s="59"/>
    </row>
    <row r="33" spans="1:13" x14ac:dyDescent="0.25">
      <c r="A33" s="158">
        <v>1</v>
      </c>
      <c r="B33">
        <v>20</v>
      </c>
      <c r="C33" t="s">
        <v>2306</v>
      </c>
      <c r="D33" s="158" t="s">
        <v>2319</v>
      </c>
      <c r="E33" s="158" t="s">
        <v>2325</v>
      </c>
      <c r="F33">
        <v>600</v>
      </c>
      <c r="J33" s="617" t="s">
        <v>2317</v>
      </c>
      <c r="K33" s="617" t="s">
        <v>2318</v>
      </c>
      <c r="L33" s="59">
        <v>1150</v>
      </c>
      <c r="M33" s="59"/>
    </row>
    <row r="34" spans="1:13" x14ac:dyDescent="0.25">
      <c r="A34" s="158">
        <v>1</v>
      </c>
      <c r="B34">
        <v>19</v>
      </c>
      <c r="C34" t="s">
        <v>2306</v>
      </c>
      <c r="D34" s="158" t="s">
        <v>2319</v>
      </c>
      <c r="E34" s="158" t="s">
        <v>2322</v>
      </c>
      <c r="F34">
        <v>650</v>
      </c>
      <c r="J34" s="617" t="s">
        <v>2313</v>
      </c>
      <c r="K34" s="617" t="s">
        <v>2314</v>
      </c>
      <c r="L34" s="59"/>
      <c r="M34" s="59">
        <v>2050</v>
      </c>
    </row>
    <row r="35" spans="1:13" x14ac:dyDescent="0.25">
      <c r="A35" s="158">
        <v>1</v>
      </c>
      <c r="B35">
        <v>20</v>
      </c>
      <c r="C35" t="s">
        <v>2306</v>
      </c>
      <c r="D35" s="158" t="s">
        <v>2319</v>
      </c>
      <c r="E35" s="158" t="s">
        <v>2326</v>
      </c>
      <c r="F35">
        <v>600</v>
      </c>
      <c r="I35" s="617" t="s">
        <v>2320</v>
      </c>
      <c r="J35" s="617" t="s">
        <v>2311</v>
      </c>
      <c r="K35" s="617" t="s">
        <v>2305</v>
      </c>
      <c r="L35" s="59">
        <v>935</v>
      </c>
      <c r="M35" s="59"/>
    </row>
    <row r="36" spans="1:13" x14ac:dyDescent="0.25">
      <c r="A36" s="158">
        <v>1</v>
      </c>
      <c r="B36">
        <v>19</v>
      </c>
      <c r="C36" t="s">
        <v>2306</v>
      </c>
      <c r="D36" s="158" t="s">
        <v>2317</v>
      </c>
      <c r="E36" s="158" t="s">
        <v>2331</v>
      </c>
      <c r="F36">
        <v>560</v>
      </c>
      <c r="K36" s="617" t="s">
        <v>2310</v>
      </c>
      <c r="L36" s="59">
        <v>960</v>
      </c>
      <c r="M36" s="59"/>
    </row>
    <row r="37" spans="1:13" x14ac:dyDescent="0.25">
      <c r="A37" s="158">
        <v>1</v>
      </c>
      <c r="B37">
        <v>20</v>
      </c>
      <c r="C37" t="s">
        <v>2306</v>
      </c>
      <c r="D37" s="158" t="s">
        <v>2317</v>
      </c>
      <c r="E37" s="158" t="s">
        <v>2305</v>
      </c>
      <c r="F37">
        <v>540</v>
      </c>
      <c r="J37" s="617" t="s">
        <v>2304</v>
      </c>
      <c r="K37" s="617" t="s">
        <v>2305</v>
      </c>
      <c r="L37" s="59">
        <v>930</v>
      </c>
      <c r="M37" s="59"/>
    </row>
    <row r="38" spans="1:13" x14ac:dyDescent="0.25">
      <c r="A38" s="158">
        <v>1</v>
      </c>
      <c r="B38">
        <v>20</v>
      </c>
      <c r="C38" t="s">
        <v>2309</v>
      </c>
      <c r="D38" s="158" t="s">
        <v>2311</v>
      </c>
      <c r="E38" s="158" t="s">
        <v>2305</v>
      </c>
      <c r="F38">
        <v>617</v>
      </c>
      <c r="J38" s="617" t="s">
        <v>2319</v>
      </c>
      <c r="K38" s="617" t="s">
        <v>2324</v>
      </c>
      <c r="L38" s="59"/>
      <c r="M38" s="59">
        <v>1600</v>
      </c>
    </row>
    <row r="39" spans="1:13" x14ac:dyDescent="0.25">
      <c r="A39" s="158">
        <v>1</v>
      </c>
      <c r="B39">
        <v>19</v>
      </c>
      <c r="C39" t="s">
        <v>2309</v>
      </c>
      <c r="D39" s="158" t="s">
        <v>2304</v>
      </c>
      <c r="E39" s="158" t="s">
        <v>2325</v>
      </c>
      <c r="F39">
        <v>800</v>
      </c>
      <c r="K39" s="617" t="s">
        <v>2325</v>
      </c>
      <c r="L39" s="59">
        <v>1395</v>
      </c>
      <c r="M39" s="59"/>
    </row>
    <row r="40" spans="1:13" x14ac:dyDescent="0.25">
      <c r="A40" s="158">
        <v>1</v>
      </c>
      <c r="B40">
        <v>19</v>
      </c>
      <c r="C40" t="s">
        <v>2309</v>
      </c>
      <c r="D40" s="158" t="s">
        <v>2319</v>
      </c>
      <c r="E40" s="158" t="s">
        <v>2314</v>
      </c>
      <c r="F40">
        <v>930</v>
      </c>
      <c r="J40" s="617" t="s">
        <v>2317</v>
      </c>
      <c r="K40" s="617" t="s">
        <v>2305</v>
      </c>
      <c r="L40" s="59">
        <v>1200</v>
      </c>
      <c r="M40" s="59"/>
    </row>
    <row r="41" spans="1:13" x14ac:dyDescent="0.25">
      <c r="A41" s="158">
        <v>1</v>
      </c>
      <c r="B41">
        <v>20</v>
      </c>
      <c r="C41" t="s">
        <v>2309</v>
      </c>
      <c r="D41" s="158" t="s">
        <v>2319</v>
      </c>
      <c r="E41" s="158" t="s">
        <v>2305</v>
      </c>
      <c r="F41">
        <v>700</v>
      </c>
      <c r="J41" s="617" t="s">
        <v>2321</v>
      </c>
      <c r="K41" s="617" t="s">
        <v>2322</v>
      </c>
      <c r="L41" s="59"/>
      <c r="M41" s="59">
        <v>1800</v>
      </c>
    </row>
    <row r="42" spans="1:13" x14ac:dyDescent="0.25">
      <c r="A42" s="158">
        <v>1</v>
      </c>
      <c r="B42">
        <v>20</v>
      </c>
      <c r="C42" t="s">
        <v>2309</v>
      </c>
      <c r="D42" s="158" t="s">
        <v>2319</v>
      </c>
      <c r="E42" s="158" t="s">
        <v>2322</v>
      </c>
      <c r="F42">
        <v>950</v>
      </c>
    </row>
  </sheetData>
  <autoFilter ref="A1:F42"/>
  <pageMargins left="0.7" right="0.7" top="0.75" bottom="0.75" header="0.3" footer="0.3"/>
  <pageSetup paperSize="9" orientation="portrait"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I37"/>
  <sheetViews>
    <sheetView workbookViewId="0">
      <selection activeCell="AG11" sqref="AG11"/>
    </sheetView>
  </sheetViews>
  <sheetFormatPr baseColWidth="10" defaultColWidth="11.42578125" defaultRowHeight="15" x14ac:dyDescent="0.25"/>
  <cols>
    <col min="1" max="1" width="3" style="308" bestFit="1" customWidth="1"/>
    <col min="2" max="3" width="5" style="308" bestFit="1" customWidth="1"/>
    <col min="4" max="4" width="6" style="308" bestFit="1" customWidth="1"/>
    <col min="5" max="5" width="5" style="308" bestFit="1" customWidth="1"/>
    <col min="6" max="6" width="4.5703125" style="308" bestFit="1" customWidth="1"/>
    <col min="7" max="7" width="11.42578125" style="308" bestFit="1" customWidth="1"/>
    <col min="8" max="8" width="3" style="308" bestFit="1" customWidth="1"/>
    <col min="9" max="10" width="5" bestFit="1" customWidth="1"/>
    <col min="11" max="11" width="3.5703125" bestFit="1" customWidth="1"/>
    <col min="12" max="12" width="4.28515625" bestFit="1" customWidth="1"/>
    <col min="13" max="13" width="4.5703125" bestFit="1" customWidth="1"/>
    <col min="15" max="15" width="3" bestFit="1" customWidth="1"/>
    <col min="16" max="17" width="5" bestFit="1" customWidth="1"/>
    <col min="18" max="18" width="3.5703125" bestFit="1" customWidth="1"/>
    <col min="19" max="19" width="4.28515625" bestFit="1" customWidth="1"/>
    <col min="20" max="20" width="4.5703125" bestFit="1" customWidth="1"/>
    <col min="21" max="21" width="6.42578125" style="471" customWidth="1"/>
    <col min="22" max="22" width="5.85546875" style="488" bestFit="1" customWidth="1"/>
    <col min="23" max="23" width="4.7109375" style="471" bestFit="1" customWidth="1"/>
    <col min="24" max="24" width="4.28515625" style="471" bestFit="1" customWidth="1"/>
    <col min="25" max="25" width="3.42578125" style="471" bestFit="1" customWidth="1"/>
    <col min="26" max="26" width="12" bestFit="1" customWidth="1"/>
    <col min="28" max="28" width="5.5703125" bestFit="1" customWidth="1"/>
    <col min="29" max="29" width="6.28515625" bestFit="1" customWidth="1"/>
    <col min="30" max="30" width="12" bestFit="1" customWidth="1"/>
  </cols>
  <sheetData>
    <row r="1" spans="1:35" x14ac:dyDescent="0.25">
      <c r="A1" s="775" t="s">
        <v>1245</v>
      </c>
      <c r="B1" s="775"/>
      <c r="C1" s="775"/>
      <c r="D1" s="775"/>
      <c r="E1" s="775"/>
      <c r="F1" s="775"/>
      <c r="G1" s="775"/>
      <c r="H1" s="775"/>
      <c r="I1" s="775"/>
      <c r="J1" s="775"/>
      <c r="K1" s="775"/>
      <c r="L1" s="775"/>
      <c r="AE1" t="s">
        <v>1488</v>
      </c>
      <c r="AF1" s="5">
        <f>AG14</f>
        <v>1150</v>
      </c>
      <c r="AH1" s="378">
        <f>(AH4/(1+AH3))-AH2</f>
        <v>1294.4664031620553</v>
      </c>
      <c r="AI1" s="552">
        <f>((AH1-AG14)/(AI14-AG14))+AG15</f>
        <v>6.314057398178381</v>
      </c>
    </row>
    <row r="2" spans="1:35" x14ac:dyDescent="0.25">
      <c r="V2" s="472" t="s">
        <v>1509</v>
      </c>
      <c r="W2" s="472" t="s">
        <v>1488</v>
      </c>
      <c r="X2" s="472" t="s">
        <v>1242</v>
      </c>
      <c r="Y2" s="472" t="s">
        <v>1211</v>
      </c>
      <c r="Z2" s="2" t="s">
        <v>1380</v>
      </c>
      <c r="AB2" s="490" t="s">
        <v>1761</v>
      </c>
      <c r="AC2" s="491"/>
      <c r="AE2" t="s">
        <v>1242</v>
      </c>
      <c r="AF2" s="48">
        <v>0</v>
      </c>
      <c r="AH2">
        <f>AF2</f>
        <v>0</v>
      </c>
    </row>
    <row r="3" spans="1:35" x14ac:dyDescent="0.25">
      <c r="A3" s="776" t="s">
        <v>1491</v>
      </c>
      <c r="B3" s="776"/>
      <c r="C3" s="776"/>
      <c r="D3" s="776"/>
      <c r="E3" s="448"/>
      <c r="F3" s="448"/>
      <c r="G3" s="448"/>
      <c r="H3" s="774" t="s">
        <v>1687</v>
      </c>
      <c r="I3" s="774"/>
      <c r="J3" s="448"/>
      <c r="K3" s="448"/>
      <c r="L3" s="448"/>
      <c r="M3" s="448"/>
      <c r="O3" s="774" t="s">
        <v>1687</v>
      </c>
      <c r="P3" s="774"/>
      <c r="Q3" s="448"/>
      <c r="R3" s="448"/>
      <c r="S3" s="448"/>
      <c r="T3" s="448"/>
      <c r="V3" s="471">
        <v>19</v>
      </c>
      <c r="W3" s="471">
        <v>10</v>
      </c>
      <c r="X3" s="471">
        <v>5</v>
      </c>
      <c r="Y3" s="471">
        <v>12</v>
      </c>
      <c r="Z3" s="316">
        <v>1875000</v>
      </c>
      <c r="AB3" s="491">
        <v>7.5</v>
      </c>
      <c r="AC3" s="491" t="s">
        <v>1242</v>
      </c>
      <c r="AE3" t="s">
        <v>1490</v>
      </c>
      <c r="AF3" s="544">
        <v>1.2E-2</v>
      </c>
      <c r="AH3" s="160">
        <f>AF3</f>
        <v>1.2E-2</v>
      </c>
    </row>
    <row r="4" spans="1:35" s="2" customFormat="1" x14ac:dyDescent="0.25">
      <c r="A4" s="118"/>
      <c r="B4" s="118" t="s">
        <v>689</v>
      </c>
      <c r="C4" s="118" t="s">
        <v>1246</v>
      </c>
      <c r="D4" s="294" t="s">
        <v>1241</v>
      </c>
      <c r="E4" s="294" t="s">
        <v>1242</v>
      </c>
      <c r="F4" s="118"/>
      <c r="H4" s="118"/>
      <c r="I4" s="118" t="s">
        <v>689</v>
      </c>
      <c r="J4" s="118" t="s">
        <v>1246</v>
      </c>
      <c r="K4" s="294" t="s">
        <v>1241</v>
      </c>
      <c r="L4" s="294" t="s">
        <v>1242</v>
      </c>
      <c r="M4" s="118"/>
      <c r="O4" s="118"/>
      <c r="P4" s="118" t="s">
        <v>689</v>
      </c>
      <c r="Q4" s="118" t="s">
        <v>1246</v>
      </c>
      <c r="R4" s="294" t="s">
        <v>1241</v>
      </c>
      <c r="S4" s="294" t="s">
        <v>1242</v>
      </c>
      <c r="T4" s="118"/>
      <c r="V4" s="473">
        <v>20</v>
      </c>
      <c r="W4" s="473">
        <v>10</v>
      </c>
      <c r="X4" s="473">
        <v>5</v>
      </c>
      <c r="Y4" s="473">
        <v>12</v>
      </c>
      <c r="Z4" s="474">
        <v>1550000</v>
      </c>
      <c r="AB4" s="491">
        <v>6</v>
      </c>
      <c r="AC4" s="491" t="s">
        <v>1762</v>
      </c>
      <c r="AE4" s="2" t="s">
        <v>1332</v>
      </c>
      <c r="AF4" s="161">
        <f>(AF1+AF2)*(1+AF3)</f>
        <v>1163.8</v>
      </c>
      <c r="AH4" s="117">
        <v>1310</v>
      </c>
    </row>
    <row r="5" spans="1:35" x14ac:dyDescent="0.25">
      <c r="A5" s="308">
        <v>19</v>
      </c>
      <c r="B5" s="308">
        <v>0.8</v>
      </c>
      <c r="C5" s="308">
        <v>0</v>
      </c>
      <c r="D5" s="310">
        <v>9.3520000000000003</v>
      </c>
      <c r="E5" s="310">
        <v>4</v>
      </c>
      <c r="F5" s="311">
        <f>((D5+C5)+(B5/4.5))+((E5+C5+B5/4.5)/3)</f>
        <v>10.92237037037037</v>
      </c>
      <c r="G5"/>
      <c r="H5" s="448">
        <v>19</v>
      </c>
      <c r="I5" s="448">
        <v>0.8</v>
      </c>
      <c r="J5" s="448">
        <v>0</v>
      </c>
      <c r="K5" s="310">
        <v>11</v>
      </c>
      <c r="L5" s="310">
        <v>2</v>
      </c>
      <c r="M5" s="311">
        <f>((K5+J5)+(I5/4.5))+((L5+J5+I5/4.5)/3)</f>
        <v>11.903703703703703</v>
      </c>
      <c r="O5" s="448">
        <v>20</v>
      </c>
      <c r="P5" s="448">
        <v>2</v>
      </c>
      <c r="Q5" s="448">
        <v>0</v>
      </c>
      <c r="R5" s="310">
        <v>12</v>
      </c>
      <c r="S5" s="310">
        <v>7</v>
      </c>
      <c r="T5" s="311">
        <f>((R5+Q5)+(P5/4.5))+((S5+Q5+P5/4.5)/3)</f>
        <v>14.925925925925926</v>
      </c>
      <c r="V5" s="473">
        <v>21</v>
      </c>
      <c r="W5" s="473">
        <v>10</v>
      </c>
      <c r="X5" s="473">
        <v>5</v>
      </c>
      <c r="Y5" s="473">
        <v>12</v>
      </c>
      <c r="Z5" s="474">
        <v>1750000</v>
      </c>
      <c r="AB5" s="491">
        <v>5</v>
      </c>
      <c r="AC5" s="491" t="s">
        <v>1488</v>
      </c>
    </row>
    <row r="6" spans="1:35" x14ac:dyDescent="0.25">
      <c r="A6" s="308">
        <v>20</v>
      </c>
      <c r="B6" s="308">
        <f>B5+0.5</f>
        <v>1.3</v>
      </c>
      <c r="C6" s="308">
        <v>0.5</v>
      </c>
      <c r="D6" s="310">
        <f>D5</f>
        <v>9.3520000000000003</v>
      </c>
      <c r="E6" s="310">
        <v>5</v>
      </c>
      <c r="F6" s="311">
        <f t="shared" ref="F6:F17" si="0">((D6+C6)+(B6/4.5))+((E6+C6+B6/4.5)/3)</f>
        <v>12.070518518518519</v>
      </c>
      <c r="G6"/>
      <c r="H6" s="448">
        <v>20</v>
      </c>
      <c r="I6" s="448">
        <f>I5+0.5</f>
        <v>1.3</v>
      </c>
      <c r="J6" s="448">
        <v>0.5</v>
      </c>
      <c r="K6" s="310">
        <f>K5</f>
        <v>11</v>
      </c>
      <c r="L6" s="310">
        <f>L5</f>
        <v>2</v>
      </c>
      <c r="M6" s="311">
        <f t="shared" ref="M6:M17" si="1">((K6+J6)+(I6/4.5))+((L6+J6+I6/4.5)/3)</f>
        <v>12.718518518518518</v>
      </c>
      <c r="O6" s="448">
        <f>O5+1</f>
        <v>21</v>
      </c>
      <c r="P6" s="448">
        <f>P5+0.5</f>
        <v>2.5</v>
      </c>
      <c r="Q6" s="448">
        <v>0.5</v>
      </c>
      <c r="R6" s="310">
        <f>R5</f>
        <v>12</v>
      </c>
      <c r="S6" s="310">
        <f>S5</f>
        <v>7</v>
      </c>
      <c r="T6" s="311">
        <f t="shared" ref="T6:T17" si="2">((R6+Q6)+(P6/4.5))+((S6+Q6+P6/4.5)/3)</f>
        <v>15.74074074074074</v>
      </c>
      <c r="V6" s="473">
        <v>23</v>
      </c>
      <c r="W6" s="473">
        <v>10</v>
      </c>
      <c r="X6" s="473">
        <v>5</v>
      </c>
      <c r="Y6" s="473">
        <v>12</v>
      </c>
      <c r="Z6" s="474">
        <v>1900000</v>
      </c>
      <c r="AB6" s="491">
        <v>1.25</v>
      </c>
      <c r="AC6" s="491" t="s">
        <v>1490</v>
      </c>
    </row>
    <row r="7" spans="1:35" x14ac:dyDescent="0.25">
      <c r="A7" s="309">
        <v>21</v>
      </c>
      <c r="B7" s="309">
        <f t="shared" ref="B7:B17" si="3">B6+0.5</f>
        <v>1.8</v>
      </c>
      <c r="C7" s="308">
        <v>0.75</v>
      </c>
      <c r="D7" s="310">
        <f t="shared" ref="D7:D17" si="4">D6</f>
        <v>9.3520000000000003</v>
      </c>
      <c r="E7" s="310">
        <v>6.19</v>
      </c>
      <c r="F7" s="311">
        <f t="shared" si="0"/>
        <v>12.948666666666668</v>
      </c>
      <c r="G7"/>
      <c r="H7" s="448">
        <v>21</v>
      </c>
      <c r="I7" s="448">
        <f t="shared" ref="I7:I17" si="5">I6+0.5</f>
        <v>1.8</v>
      </c>
      <c r="J7" s="448">
        <v>0.75</v>
      </c>
      <c r="K7" s="310">
        <f t="shared" ref="K7:L17" si="6">K6</f>
        <v>11</v>
      </c>
      <c r="L7" s="310">
        <f t="shared" si="6"/>
        <v>2</v>
      </c>
      <c r="M7" s="311">
        <f t="shared" si="1"/>
        <v>13.200000000000001</v>
      </c>
      <c r="O7" s="448">
        <f t="shared" ref="O7:O17" si="7">O6+1</f>
        <v>22</v>
      </c>
      <c r="P7" s="448">
        <f t="shared" ref="P7:P17" si="8">P6+0.5</f>
        <v>3</v>
      </c>
      <c r="Q7" s="448">
        <v>0.75</v>
      </c>
      <c r="R7" s="310">
        <f t="shared" ref="R7:S7" si="9">R6</f>
        <v>12</v>
      </c>
      <c r="S7" s="310">
        <f t="shared" si="9"/>
        <v>7</v>
      </c>
      <c r="T7" s="311">
        <f t="shared" si="2"/>
        <v>16.222222222222221</v>
      </c>
      <c r="V7" s="473">
        <v>20</v>
      </c>
      <c r="W7" s="473">
        <v>10</v>
      </c>
      <c r="X7" s="473">
        <v>8</v>
      </c>
      <c r="Y7" s="473">
        <v>12</v>
      </c>
      <c r="Z7" s="474">
        <v>1950000</v>
      </c>
    </row>
    <row r="8" spans="1:35" x14ac:dyDescent="0.25">
      <c r="A8" s="309">
        <v>22</v>
      </c>
      <c r="B8" s="309">
        <f t="shared" si="3"/>
        <v>2.2999999999999998</v>
      </c>
      <c r="C8" s="308">
        <v>1</v>
      </c>
      <c r="D8" s="310">
        <f t="shared" si="4"/>
        <v>9.3520000000000003</v>
      </c>
      <c r="E8" s="310">
        <f>E7</f>
        <v>6.19</v>
      </c>
      <c r="F8" s="311">
        <f t="shared" si="0"/>
        <v>13.430148148148149</v>
      </c>
      <c r="G8"/>
      <c r="H8" s="448">
        <v>22</v>
      </c>
      <c r="I8" s="448">
        <f t="shared" si="5"/>
        <v>2.2999999999999998</v>
      </c>
      <c r="J8" s="448">
        <v>1</v>
      </c>
      <c r="K8" s="310">
        <f t="shared" si="6"/>
        <v>11</v>
      </c>
      <c r="L8" s="310">
        <f t="shared" si="6"/>
        <v>2</v>
      </c>
      <c r="M8" s="311">
        <f t="shared" si="1"/>
        <v>13.681481481481482</v>
      </c>
      <c r="O8" s="448">
        <f t="shared" si="7"/>
        <v>23</v>
      </c>
      <c r="P8" s="448">
        <f t="shared" si="8"/>
        <v>3.5</v>
      </c>
      <c r="Q8" s="448">
        <v>1</v>
      </c>
      <c r="R8" s="310">
        <f t="shared" ref="R8:S8" si="10">R7</f>
        <v>12</v>
      </c>
      <c r="S8" s="310">
        <f t="shared" si="10"/>
        <v>7</v>
      </c>
      <c r="T8" s="311">
        <f t="shared" si="2"/>
        <v>16.703703703703706</v>
      </c>
      <c r="V8" s="473">
        <v>19</v>
      </c>
      <c r="W8" s="473">
        <v>11</v>
      </c>
      <c r="X8" s="473">
        <v>5</v>
      </c>
      <c r="Y8" s="473">
        <v>12</v>
      </c>
      <c r="Z8" s="474">
        <v>2200000</v>
      </c>
    </row>
    <row r="9" spans="1:35" x14ac:dyDescent="0.25">
      <c r="A9" s="118">
        <v>23</v>
      </c>
      <c r="B9" s="118">
        <v>3.67</v>
      </c>
      <c r="C9" s="118">
        <v>1</v>
      </c>
      <c r="D9" s="449">
        <v>10</v>
      </c>
      <c r="E9" s="449">
        <f t="shared" ref="E9:E17" si="11">E8</f>
        <v>6.19</v>
      </c>
      <c r="F9" s="450">
        <f t="shared" si="0"/>
        <v>14.484074074074075</v>
      </c>
      <c r="G9"/>
      <c r="H9" s="448">
        <v>23</v>
      </c>
      <c r="I9" s="448">
        <v>3.67</v>
      </c>
      <c r="J9" s="448">
        <v>1</v>
      </c>
      <c r="K9" s="310">
        <f t="shared" si="6"/>
        <v>11</v>
      </c>
      <c r="L9" s="310">
        <f t="shared" si="6"/>
        <v>2</v>
      </c>
      <c r="M9" s="311">
        <f t="shared" si="1"/>
        <v>14.087407407407406</v>
      </c>
      <c r="O9" s="448">
        <f t="shared" si="7"/>
        <v>24</v>
      </c>
      <c r="P9" s="448">
        <v>3.67</v>
      </c>
      <c r="Q9" s="448">
        <v>1</v>
      </c>
      <c r="R9" s="310">
        <f t="shared" ref="R9:S9" si="12">R8</f>
        <v>12</v>
      </c>
      <c r="S9" s="310">
        <f t="shared" si="12"/>
        <v>7</v>
      </c>
      <c r="T9" s="311">
        <f t="shared" si="2"/>
        <v>16.754074074074072</v>
      </c>
      <c r="V9" s="473">
        <v>19</v>
      </c>
      <c r="W9" s="473">
        <v>12</v>
      </c>
      <c r="X9" s="473">
        <v>5</v>
      </c>
      <c r="Y9" s="473">
        <v>13</v>
      </c>
      <c r="Z9" s="474">
        <v>2650000</v>
      </c>
    </row>
    <row r="10" spans="1:35" x14ac:dyDescent="0.25">
      <c r="A10" s="309">
        <v>24</v>
      </c>
      <c r="B10" s="309">
        <f t="shared" si="3"/>
        <v>4.17</v>
      </c>
      <c r="C10" s="309">
        <v>1</v>
      </c>
      <c r="D10" s="310">
        <f t="shared" si="4"/>
        <v>10</v>
      </c>
      <c r="E10" s="310">
        <f t="shared" si="11"/>
        <v>6.19</v>
      </c>
      <c r="F10" s="311">
        <f t="shared" si="0"/>
        <v>14.632222222222222</v>
      </c>
      <c r="G10"/>
      <c r="H10" s="448">
        <v>24</v>
      </c>
      <c r="I10" s="448">
        <f t="shared" si="5"/>
        <v>4.17</v>
      </c>
      <c r="J10" s="448">
        <v>1</v>
      </c>
      <c r="K10" s="310">
        <f t="shared" si="6"/>
        <v>11</v>
      </c>
      <c r="L10" s="310">
        <f t="shared" si="6"/>
        <v>2</v>
      </c>
      <c r="M10" s="311">
        <f t="shared" si="1"/>
        <v>14.235555555555555</v>
      </c>
      <c r="O10" s="448">
        <f t="shared" si="7"/>
        <v>25</v>
      </c>
      <c r="P10" s="448">
        <f t="shared" si="8"/>
        <v>4.17</v>
      </c>
      <c r="Q10" s="448">
        <v>1</v>
      </c>
      <c r="R10" s="310">
        <f t="shared" ref="R10:S10" si="13">R9</f>
        <v>12</v>
      </c>
      <c r="S10" s="310">
        <f t="shared" si="13"/>
        <v>7</v>
      </c>
      <c r="T10" s="311">
        <f t="shared" si="2"/>
        <v>16.902222222222221</v>
      </c>
      <c r="V10" s="473"/>
      <c r="W10" s="473"/>
      <c r="X10" s="473"/>
      <c r="Y10" s="473"/>
      <c r="Z10" s="474"/>
    </row>
    <row r="11" spans="1:35" x14ac:dyDescent="0.25">
      <c r="A11" s="309">
        <v>25</v>
      </c>
      <c r="B11" s="309">
        <f t="shared" si="3"/>
        <v>4.67</v>
      </c>
      <c r="C11" s="309">
        <v>1</v>
      </c>
      <c r="D11" s="310">
        <f t="shared" si="4"/>
        <v>10</v>
      </c>
      <c r="E11" s="310">
        <f t="shared" si="11"/>
        <v>6.19</v>
      </c>
      <c r="F11" s="311">
        <f t="shared" si="0"/>
        <v>14.78037037037037</v>
      </c>
      <c r="G11"/>
      <c r="H11" s="448">
        <v>25</v>
      </c>
      <c r="I11" s="448">
        <f t="shared" si="5"/>
        <v>4.67</v>
      </c>
      <c r="J11" s="448">
        <v>1</v>
      </c>
      <c r="K11" s="310">
        <f t="shared" si="6"/>
        <v>11</v>
      </c>
      <c r="L11" s="310">
        <f t="shared" si="6"/>
        <v>2</v>
      </c>
      <c r="M11" s="311">
        <f t="shared" si="1"/>
        <v>14.383703703703704</v>
      </c>
      <c r="O11" s="448">
        <f t="shared" si="7"/>
        <v>26</v>
      </c>
      <c r="P11" s="448">
        <f t="shared" si="8"/>
        <v>4.67</v>
      </c>
      <c r="Q11" s="448">
        <v>1</v>
      </c>
      <c r="R11" s="310">
        <f t="shared" ref="R11:S11" si="14">R10</f>
        <v>12</v>
      </c>
      <c r="S11" s="310">
        <f t="shared" si="14"/>
        <v>7</v>
      </c>
      <c r="T11" s="311">
        <f t="shared" si="2"/>
        <v>17.05037037037037</v>
      </c>
      <c r="V11" s="489" t="s">
        <v>1509</v>
      </c>
      <c r="W11" s="489" t="s">
        <v>1488</v>
      </c>
      <c r="X11" s="489" t="s">
        <v>1242</v>
      </c>
      <c r="Y11" s="489" t="s">
        <v>1211</v>
      </c>
      <c r="Z11" s="2" t="s">
        <v>1380</v>
      </c>
    </row>
    <row r="12" spans="1:35" x14ac:dyDescent="0.25">
      <c r="A12" s="309">
        <v>26</v>
      </c>
      <c r="B12" s="309">
        <f t="shared" si="3"/>
        <v>5.17</v>
      </c>
      <c r="C12" s="309">
        <v>1</v>
      </c>
      <c r="D12" s="310">
        <f t="shared" si="4"/>
        <v>10</v>
      </c>
      <c r="E12" s="310">
        <f t="shared" si="11"/>
        <v>6.19</v>
      </c>
      <c r="F12" s="311">
        <f t="shared" si="0"/>
        <v>14.928518518518519</v>
      </c>
      <c r="G12"/>
      <c r="H12" s="448">
        <v>26</v>
      </c>
      <c r="I12" s="448">
        <f t="shared" si="5"/>
        <v>5.17</v>
      </c>
      <c r="J12" s="448">
        <v>1</v>
      </c>
      <c r="K12" s="310">
        <f t="shared" si="6"/>
        <v>11</v>
      </c>
      <c r="L12" s="310">
        <f t="shared" si="6"/>
        <v>2</v>
      </c>
      <c r="M12" s="311">
        <f t="shared" si="1"/>
        <v>14.531851851851853</v>
      </c>
      <c r="O12" s="448">
        <f t="shared" si="7"/>
        <v>27</v>
      </c>
      <c r="P12" s="448">
        <f t="shared" si="8"/>
        <v>5.17</v>
      </c>
      <c r="Q12" s="448">
        <v>1</v>
      </c>
      <c r="R12" s="310">
        <f t="shared" ref="R12:S12" si="15">R11</f>
        <v>12</v>
      </c>
      <c r="S12" s="310">
        <f t="shared" si="15"/>
        <v>7</v>
      </c>
      <c r="T12" s="311">
        <f t="shared" si="2"/>
        <v>17.198518518518519</v>
      </c>
      <c r="V12" s="488">
        <v>21</v>
      </c>
      <c r="W12" s="488">
        <v>12</v>
      </c>
      <c r="X12" s="488">
        <v>6</v>
      </c>
      <c r="Y12" s="488">
        <v>14</v>
      </c>
      <c r="Z12" s="316">
        <v>2275000</v>
      </c>
    </row>
    <row r="13" spans="1:35" x14ac:dyDescent="0.25">
      <c r="A13" s="309">
        <v>27</v>
      </c>
      <c r="B13" s="309">
        <f t="shared" si="3"/>
        <v>5.67</v>
      </c>
      <c r="C13" s="309">
        <v>1</v>
      </c>
      <c r="D13" s="310">
        <f t="shared" si="4"/>
        <v>10</v>
      </c>
      <c r="E13" s="310">
        <f t="shared" si="11"/>
        <v>6.19</v>
      </c>
      <c r="F13" s="311">
        <f t="shared" si="0"/>
        <v>15.076666666666666</v>
      </c>
      <c r="G13"/>
      <c r="H13" s="448">
        <v>27</v>
      </c>
      <c r="I13" s="448">
        <f t="shared" si="5"/>
        <v>5.67</v>
      </c>
      <c r="J13" s="448">
        <v>1</v>
      </c>
      <c r="K13" s="310">
        <f t="shared" si="6"/>
        <v>11</v>
      </c>
      <c r="L13" s="310">
        <f t="shared" si="6"/>
        <v>2</v>
      </c>
      <c r="M13" s="311">
        <f t="shared" si="1"/>
        <v>14.68</v>
      </c>
      <c r="O13" s="448">
        <f t="shared" si="7"/>
        <v>28</v>
      </c>
      <c r="P13" s="448">
        <f t="shared" si="8"/>
        <v>5.67</v>
      </c>
      <c r="Q13" s="448">
        <v>1</v>
      </c>
      <c r="R13" s="310">
        <f t="shared" ref="R13:S13" si="16">R12</f>
        <v>12</v>
      </c>
      <c r="S13" s="310">
        <f t="shared" si="16"/>
        <v>7</v>
      </c>
      <c r="T13" s="311">
        <f t="shared" si="2"/>
        <v>17.346666666666668</v>
      </c>
      <c r="V13" s="473">
        <v>20</v>
      </c>
      <c r="W13" s="473">
        <v>12</v>
      </c>
      <c r="X13" s="473">
        <v>6</v>
      </c>
      <c r="Y13" s="473">
        <v>12</v>
      </c>
      <c r="Z13" s="474">
        <v>2000000</v>
      </c>
    </row>
    <row r="14" spans="1:35" x14ac:dyDescent="0.25">
      <c r="A14" s="309">
        <v>28</v>
      </c>
      <c r="B14" s="309">
        <f t="shared" si="3"/>
        <v>6.17</v>
      </c>
      <c r="C14" s="309">
        <v>1</v>
      </c>
      <c r="D14" s="310">
        <f t="shared" si="4"/>
        <v>10</v>
      </c>
      <c r="E14" s="310">
        <f t="shared" si="11"/>
        <v>6.19</v>
      </c>
      <c r="F14" s="311">
        <f t="shared" si="0"/>
        <v>15.224814814814815</v>
      </c>
      <c r="G14"/>
      <c r="H14" s="448">
        <v>28</v>
      </c>
      <c r="I14" s="448">
        <f t="shared" si="5"/>
        <v>6.17</v>
      </c>
      <c r="J14" s="448">
        <v>1</v>
      </c>
      <c r="K14" s="310">
        <f t="shared" si="6"/>
        <v>11</v>
      </c>
      <c r="L14" s="310">
        <f t="shared" si="6"/>
        <v>2</v>
      </c>
      <c r="M14" s="311">
        <f t="shared" si="1"/>
        <v>14.828148148148149</v>
      </c>
      <c r="O14" s="448">
        <f t="shared" si="7"/>
        <v>29</v>
      </c>
      <c r="P14" s="448">
        <f t="shared" si="8"/>
        <v>6.17</v>
      </c>
      <c r="Q14" s="448">
        <v>1</v>
      </c>
      <c r="R14" s="310">
        <f t="shared" ref="R14:S14" si="17">R13</f>
        <v>12</v>
      </c>
      <c r="S14" s="310">
        <f t="shared" si="17"/>
        <v>7</v>
      </c>
      <c r="T14" s="311">
        <f t="shared" si="2"/>
        <v>17.494814814814813</v>
      </c>
      <c r="V14" s="473">
        <v>19</v>
      </c>
      <c r="W14" s="473">
        <v>12</v>
      </c>
      <c r="X14" s="473">
        <v>4</v>
      </c>
      <c r="Y14" s="473">
        <v>12</v>
      </c>
      <c r="Z14" s="474">
        <v>1520000</v>
      </c>
      <c r="AG14" s="551">
        <v>1150</v>
      </c>
      <c r="AH14" s="551">
        <v>1510</v>
      </c>
      <c r="AI14" s="551">
        <v>1610</v>
      </c>
    </row>
    <row r="15" spans="1:35" x14ac:dyDescent="0.25">
      <c r="A15" s="309">
        <v>29</v>
      </c>
      <c r="B15" s="309">
        <f t="shared" si="3"/>
        <v>6.67</v>
      </c>
      <c r="C15" s="309">
        <v>1</v>
      </c>
      <c r="D15" s="310">
        <f t="shared" si="4"/>
        <v>10</v>
      </c>
      <c r="E15" s="310">
        <f t="shared" si="11"/>
        <v>6.19</v>
      </c>
      <c r="F15" s="311">
        <f t="shared" si="0"/>
        <v>15.372962962962964</v>
      </c>
      <c r="G15"/>
      <c r="H15" s="448">
        <v>29</v>
      </c>
      <c r="I15" s="448">
        <f t="shared" si="5"/>
        <v>6.67</v>
      </c>
      <c r="J15" s="448">
        <v>1</v>
      </c>
      <c r="K15" s="310">
        <f t="shared" si="6"/>
        <v>11</v>
      </c>
      <c r="L15" s="310">
        <f t="shared" si="6"/>
        <v>2</v>
      </c>
      <c r="M15" s="311">
        <f t="shared" si="1"/>
        <v>14.976296296296297</v>
      </c>
      <c r="O15" s="448">
        <f t="shared" si="7"/>
        <v>30</v>
      </c>
      <c r="P15" s="448">
        <f t="shared" si="8"/>
        <v>6.67</v>
      </c>
      <c r="Q15" s="448">
        <v>1</v>
      </c>
      <c r="R15" s="310">
        <f t="shared" ref="R15:S15" si="18">R14</f>
        <v>12</v>
      </c>
      <c r="S15" s="310">
        <f t="shared" si="18"/>
        <v>7</v>
      </c>
      <c r="T15" s="311">
        <f t="shared" si="2"/>
        <v>17.642962962962965</v>
      </c>
      <c r="V15" s="473">
        <v>20</v>
      </c>
      <c r="W15" s="473">
        <v>12</v>
      </c>
      <c r="X15" s="473">
        <v>4</v>
      </c>
      <c r="Y15" s="473">
        <v>12</v>
      </c>
      <c r="Z15" s="474">
        <v>1800000</v>
      </c>
      <c r="AG15" s="551">
        <v>6</v>
      </c>
      <c r="AH15" s="551"/>
      <c r="AI15" s="551">
        <v>7</v>
      </c>
    </row>
    <row r="16" spans="1:35" x14ac:dyDescent="0.25">
      <c r="A16" s="309">
        <v>30</v>
      </c>
      <c r="B16" s="309">
        <f t="shared" si="3"/>
        <v>7.17</v>
      </c>
      <c r="C16" s="309">
        <v>1</v>
      </c>
      <c r="D16" s="310">
        <f t="shared" si="4"/>
        <v>10</v>
      </c>
      <c r="E16" s="310">
        <f t="shared" si="11"/>
        <v>6.19</v>
      </c>
      <c r="F16" s="311">
        <f t="shared" si="0"/>
        <v>15.521111111111111</v>
      </c>
      <c r="G16"/>
      <c r="H16" s="448">
        <v>30</v>
      </c>
      <c r="I16" s="448">
        <f t="shared" si="5"/>
        <v>7.17</v>
      </c>
      <c r="J16" s="448">
        <v>1</v>
      </c>
      <c r="K16" s="310">
        <f t="shared" si="6"/>
        <v>11</v>
      </c>
      <c r="L16" s="310">
        <f t="shared" si="6"/>
        <v>2</v>
      </c>
      <c r="M16" s="311">
        <f t="shared" si="1"/>
        <v>15.124444444444444</v>
      </c>
      <c r="O16" s="448">
        <f t="shared" si="7"/>
        <v>31</v>
      </c>
      <c r="P16" s="448">
        <f t="shared" si="8"/>
        <v>7.17</v>
      </c>
      <c r="Q16" s="448">
        <v>1</v>
      </c>
      <c r="R16" s="310">
        <f t="shared" ref="R16:S16" si="19">R15</f>
        <v>12</v>
      </c>
      <c r="S16" s="310">
        <f t="shared" si="19"/>
        <v>7</v>
      </c>
      <c r="T16" s="311">
        <f t="shared" si="2"/>
        <v>17.79111111111111</v>
      </c>
      <c r="U16" s="473"/>
      <c r="V16" s="473"/>
      <c r="W16" s="473"/>
      <c r="X16" s="473"/>
      <c r="Y16" s="473"/>
      <c r="Z16" s="474"/>
    </row>
    <row r="17" spans="1:34" x14ac:dyDescent="0.25">
      <c r="A17" s="309">
        <v>31</v>
      </c>
      <c r="B17" s="309">
        <f t="shared" si="3"/>
        <v>7.67</v>
      </c>
      <c r="C17" s="309">
        <v>1</v>
      </c>
      <c r="D17" s="310">
        <f t="shared" si="4"/>
        <v>10</v>
      </c>
      <c r="E17" s="310">
        <f t="shared" si="11"/>
        <v>6.19</v>
      </c>
      <c r="F17" s="311">
        <f t="shared" si="0"/>
        <v>15.66925925925926</v>
      </c>
      <c r="G17"/>
      <c r="H17" s="448">
        <v>31</v>
      </c>
      <c r="I17" s="448">
        <f t="shared" si="5"/>
        <v>7.67</v>
      </c>
      <c r="J17" s="448">
        <v>1</v>
      </c>
      <c r="K17" s="310">
        <f t="shared" si="6"/>
        <v>11</v>
      </c>
      <c r="L17" s="310">
        <f t="shared" si="6"/>
        <v>2</v>
      </c>
      <c r="M17" s="311">
        <f t="shared" si="1"/>
        <v>15.272592592592593</v>
      </c>
      <c r="O17" s="448">
        <f t="shared" si="7"/>
        <v>32</v>
      </c>
      <c r="P17" s="448">
        <f t="shared" si="8"/>
        <v>7.67</v>
      </c>
      <c r="Q17" s="448">
        <v>1</v>
      </c>
      <c r="R17" s="310">
        <f t="shared" ref="R17:S17" si="20">R16</f>
        <v>12</v>
      </c>
      <c r="S17" s="310">
        <f t="shared" si="20"/>
        <v>7</v>
      </c>
      <c r="T17" s="311">
        <f t="shared" si="2"/>
        <v>17.939259259259259</v>
      </c>
      <c r="U17" s="473"/>
      <c r="V17" s="473"/>
      <c r="W17" s="473"/>
      <c r="X17" s="473"/>
      <c r="Y17" s="473"/>
      <c r="Z17" s="474"/>
      <c r="AH17" s="551"/>
    </row>
    <row r="18" spans="1:34" x14ac:dyDescent="0.25">
      <c r="D18" s="309"/>
      <c r="E18" s="309"/>
      <c r="U18" s="473"/>
      <c r="V18" s="473"/>
      <c r="W18" s="473"/>
      <c r="X18" s="473"/>
      <c r="Y18" s="473"/>
      <c r="Z18" s="474"/>
    </row>
    <row r="19" spans="1:34" x14ac:dyDescent="0.25">
      <c r="D19" s="309"/>
      <c r="E19" s="309"/>
      <c r="U19" s="473"/>
      <c r="V19" s="473"/>
      <c r="W19" s="473"/>
      <c r="X19" s="473"/>
      <c r="Y19" s="473"/>
      <c r="Z19" s="474"/>
    </row>
    <row r="20" spans="1:34" x14ac:dyDescent="0.25">
      <c r="U20" s="473"/>
      <c r="V20" s="473"/>
      <c r="W20" s="473"/>
      <c r="X20" s="473"/>
      <c r="Y20" s="473"/>
      <c r="Z20" s="474"/>
      <c r="AD20" s="100" t="s">
        <v>725</v>
      </c>
    </row>
    <row r="21" spans="1:34" x14ac:dyDescent="0.25">
      <c r="G21" s="60"/>
      <c r="U21" s="473"/>
      <c r="V21" s="473"/>
      <c r="W21" s="473"/>
      <c r="X21" s="473"/>
      <c r="Y21" s="473"/>
      <c r="Z21" s="474"/>
      <c r="AC21" s="378">
        <v>6</v>
      </c>
      <c r="AD21" s="100" t="s">
        <v>726</v>
      </c>
    </row>
    <row r="22" spans="1:34" x14ac:dyDescent="0.25">
      <c r="G22" s="60"/>
      <c r="U22" s="473"/>
      <c r="V22" s="473"/>
      <c r="W22" s="473"/>
      <c r="X22" s="473"/>
      <c r="Y22" s="473"/>
      <c r="Z22" s="474"/>
      <c r="AC22" s="378">
        <v>5.2</v>
      </c>
      <c r="AD22" s="100" t="s">
        <v>727</v>
      </c>
    </row>
    <row r="23" spans="1:34" x14ac:dyDescent="0.25">
      <c r="G23" s="60"/>
      <c r="U23" s="473"/>
      <c r="V23" s="473"/>
      <c r="W23" s="473"/>
      <c r="X23" s="473"/>
      <c r="Y23" s="473"/>
      <c r="Z23" s="474"/>
      <c r="AC23" s="378">
        <v>4.7</v>
      </c>
      <c r="AD23" s="100" t="s">
        <v>728</v>
      </c>
      <c r="AH23" s="63"/>
    </row>
    <row r="24" spans="1:34" x14ac:dyDescent="0.25">
      <c r="U24" s="473"/>
      <c r="V24" s="473"/>
      <c r="W24" s="473"/>
      <c r="X24" s="473"/>
      <c r="Y24" s="473"/>
      <c r="Z24" s="474"/>
      <c r="AC24" s="378">
        <v>4.3</v>
      </c>
      <c r="AD24" s="100" t="s">
        <v>729</v>
      </c>
    </row>
    <row r="25" spans="1:34" x14ac:dyDescent="0.25">
      <c r="U25" s="473"/>
      <c r="V25" s="473"/>
      <c r="W25" s="473"/>
      <c r="X25" s="473"/>
      <c r="Y25" s="473"/>
      <c r="Z25" s="474"/>
      <c r="AC25" s="378">
        <v>3.7</v>
      </c>
      <c r="AD25" s="100" t="s">
        <v>730</v>
      </c>
    </row>
    <row r="26" spans="1:34" x14ac:dyDescent="0.25">
      <c r="U26" s="473"/>
      <c r="V26" s="473"/>
      <c r="W26" s="473"/>
      <c r="X26" s="473"/>
      <c r="Y26" s="473"/>
      <c r="Z26" s="474"/>
      <c r="AC26" s="378">
        <v>3.3</v>
      </c>
      <c r="AD26" s="100" t="s">
        <v>731</v>
      </c>
    </row>
    <row r="27" spans="1:34" x14ac:dyDescent="0.25">
      <c r="U27" s="473"/>
      <c r="V27" s="473"/>
      <c r="W27" s="473"/>
      <c r="X27" s="473"/>
      <c r="Y27" s="473"/>
      <c r="Z27" s="474"/>
      <c r="AC27" s="378">
        <v>3.1</v>
      </c>
      <c r="AD27" s="100" t="s">
        <v>732</v>
      </c>
    </row>
    <row r="28" spans="1:34" x14ac:dyDescent="0.25">
      <c r="U28" s="473"/>
      <c r="V28" s="473"/>
      <c r="W28" s="473"/>
      <c r="X28" s="473"/>
      <c r="Y28" s="473"/>
      <c r="Z28" s="474"/>
      <c r="AC28" s="378">
        <v>2.9</v>
      </c>
      <c r="AD28" s="100" t="s">
        <v>733</v>
      </c>
    </row>
    <row r="29" spans="1:34" x14ac:dyDescent="0.25">
      <c r="U29" s="473"/>
      <c r="V29" s="473"/>
      <c r="W29" s="473"/>
      <c r="X29" s="473"/>
      <c r="Y29" s="473"/>
      <c r="Z29" s="474"/>
      <c r="AC29" s="378">
        <v>2.7</v>
      </c>
      <c r="AD29" s="100" t="s">
        <v>734</v>
      </c>
    </row>
    <row r="30" spans="1:34" x14ac:dyDescent="0.25">
      <c r="U30" s="473"/>
      <c r="V30" s="473"/>
      <c r="W30" s="473"/>
      <c r="X30" s="473"/>
      <c r="Y30" s="473"/>
      <c r="Z30" s="474"/>
      <c r="AC30" s="378">
        <v>2.2999999999999998</v>
      </c>
      <c r="AD30" s="100" t="s">
        <v>735</v>
      </c>
    </row>
    <row r="31" spans="1:34" x14ac:dyDescent="0.25">
      <c r="U31" s="473"/>
      <c r="V31" s="473"/>
      <c r="W31" s="473"/>
      <c r="X31" s="473"/>
      <c r="Y31" s="473"/>
      <c r="Z31" s="474"/>
      <c r="AC31" s="378">
        <v>2</v>
      </c>
      <c r="AD31" s="100" t="s">
        <v>736</v>
      </c>
    </row>
    <row r="32" spans="1:34" x14ac:dyDescent="0.25">
      <c r="U32" s="473"/>
      <c r="V32" s="473"/>
      <c r="W32" s="473"/>
      <c r="X32" s="473"/>
      <c r="Y32" s="473"/>
      <c r="Z32" s="474"/>
      <c r="AC32" s="378">
        <v>1.8</v>
      </c>
      <c r="AD32" s="100" t="s">
        <v>737</v>
      </c>
    </row>
    <row r="33" spans="29:30" x14ac:dyDescent="0.25">
      <c r="AC33" s="378">
        <v>1.6</v>
      </c>
      <c r="AD33" s="100" t="s">
        <v>738</v>
      </c>
    </row>
    <row r="34" spans="29:30" x14ac:dyDescent="0.25">
      <c r="AC34" s="378">
        <v>1.4</v>
      </c>
      <c r="AD34" s="100" t="s">
        <v>739</v>
      </c>
    </row>
    <row r="35" spans="29:30" x14ac:dyDescent="0.25">
      <c r="AC35" s="378">
        <v>1.2</v>
      </c>
      <c r="AD35" s="100" t="s">
        <v>740</v>
      </c>
    </row>
    <row r="36" spans="29:30" x14ac:dyDescent="0.25">
      <c r="AC36" s="378">
        <v>0.8</v>
      </c>
      <c r="AD36" s="100" t="s">
        <v>741</v>
      </c>
    </row>
    <row r="37" spans="29:30" x14ac:dyDescent="0.25">
      <c r="AC37" s="378">
        <v>0.6</v>
      </c>
      <c r="AD37" s="100" t="s">
        <v>742</v>
      </c>
    </row>
  </sheetData>
  <mergeCells count="4">
    <mergeCell ref="H3:I3"/>
    <mergeCell ref="O3:P3"/>
    <mergeCell ref="A1:L1"/>
    <mergeCell ref="A3:D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Q49"/>
  <sheetViews>
    <sheetView zoomScale="80" zoomScaleNormal="80" workbookViewId="0">
      <selection activeCell="N37" sqref="N37"/>
    </sheetView>
  </sheetViews>
  <sheetFormatPr baseColWidth="10" defaultColWidth="11.42578125" defaultRowHeight="15" x14ac:dyDescent="0.25"/>
  <cols>
    <col min="1" max="1" width="3.85546875" customWidth="1"/>
    <col min="2" max="2" width="11.42578125" customWidth="1"/>
    <col min="3" max="3" width="7.85546875" bestFit="1" customWidth="1"/>
    <col min="4" max="4" width="9" bestFit="1" customWidth="1"/>
    <col min="5" max="6" width="3.28515625" bestFit="1" customWidth="1"/>
    <col min="7" max="7" width="7.42578125" customWidth="1"/>
    <col min="11" max="11" width="6.85546875" customWidth="1"/>
    <col min="12" max="12" width="4.5703125" customWidth="1"/>
    <col min="13" max="13" width="4.5703125" style="2" customWidth="1"/>
    <col min="14" max="14" width="10" style="2" bestFit="1" customWidth="1"/>
  </cols>
  <sheetData>
    <row r="1" spans="1:15" x14ac:dyDescent="0.25">
      <c r="A1" t="s">
        <v>279</v>
      </c>
    </row>
    <row r="2" spans="1:15" x14ac:dyDescent="0.25">
      <c r="A2" s="41" t="s">
        <v>280</v>
      </c>
      <c r="M2"/>
      <c r="N2" s="17" t="s">
        <v>58</v>
      </c>
      <c r="O2" s="17" t="s">
        <v>59</v>
      </c>
    </row>
    <row r="3" spans="1:15" x14ac:dyDescent="0.25">
      <c r="K3" s="48">
        <v>3.17</v>
      </c>
      <c r="L3">
        <v>0</v>
      </c>
      <c r="M3">
        <f t="shared" ref="M3:M23" si="0">L3^$K$3</f>
        <v>0</v>
      </c>
      <c r="N3" s="42">
        <v>0</v>
      </c>
      <c r="O3" s="17">
        <f>M3*10/2</f>
        <v>0</v>
      </c>
    </row>
    <row r="4" spans="1:15" x14ac:dyDescent="0.25">
      <c r="B4" s="726" t="s">
        <v>281</v>
      </c>
      <c r="C4" s="726"/>
      <c r="D4" s="35" t="s">
        <v>52</v>
      </c>
      <c r="G4" s="726" t="s">
        <v>282</v>
      </c>
      <c r="H4" s="726"/>
      <c r="I4" s="35" t="s">
        <v>52</v>
      </c>
      <c r="L4">
        <v>0.05</v>
      </c>
      <c r="M4">
        <f t="shared" si="0"/>
        <v>7.5116425567310291E-5</v>
      </c>
      <c r="N4" s="43">
        <v>2.5000000000000001E-2</v>
      </c>
      <c r="O4" s="44">
        <f t="shared" ref="O4:O43" si="1">M4*10/2</f>
        <v>3.7558212783655147E-4</v>
      </c>
    </row>
    <row r="5" spans="1:15" ht="18.75" x14ac:dyDescent="0.3">
      <c r="B5" s="36" t="s">
        <v>53</v>
      </c>
      <c r="C5" s="33">
        <v>9.24</v>
      </c>
      <c r="D5" s="164">
        <f>(C5)/(C5+C6)</f>
        <v>0.60629921259842523</v>
      </c>
      <c r="G5" s="36" t="s">
        <v>53</v>
      </c>
      <c r="H5" s="33">
        <v>9</v>
      </c>
      <c r="I5" s="164">
        <f>(H5)/(H5+H6)</f>
        <v>0.59055118110236215</v>
      </c>
      <c r="J5" s="129">
        <f>(I5+D5)/2</f>
        <v>0.59842519685039375</v>
      </c>
      <c r="L5">
        <v>0.1</v>
      </c>
      <c r="M5">
        <f t="shared" si="0"/>
        <v>6.760829753919824E-4</v>
      </c>
      <c r="N5" s="42">
        <v>0.05</v>
      </c>
      <c r="O5" s="44">
        <f t="shared" si="1"/>
        <v>3.3804148769599118E-3</v>
      </c>
    </row>
    <row r="6" spans="1:15" ht="18.75" x14ac:dyDescent="0.3">
      <c r="B6" s="36" t="s">
        <v>54</v>
      </c>
      <c r="C6" s="33">
        <v>6</v>
      </c>
      <c r="D6" s="165">
        <f>1-D5</f>
        <v>0.39370078740157477</v>
      </c>
      <c r="G6" s="36" t="s">
        <v>54</v>
      </c>
      <c r="H6" s="33">
        <v>6.24</v>
      </c>
      <c r="I6" s="165">
        <f>1-I5</f>
        <v>0.40944881889763785</v>
      </c>
      <c r="L6">
        <v>0.15</v>
      </c>
      <c r="M6">
        <f t="shared" si="0"/>
        <v>2.4446083520705164E-3</v>
      </c>
      <c r="N6" s="42">
        <v>7.4999999999999997E-2</v>
      </c>
      <c r="O6" s="44">
        <f t="shared" si="1"/>
        <v>1.2223041760352582E-2</v>
      </c>
    </row>
    <row r="7" spans="1:15" x14ac:dyDescent="0.25">
      <c r="L7">
        <v>0.2</v>
      </c>
      <c r="M7">
        <f t="shared" si="0"/>
        <v>6.0850631025472397E-3</v>
      </c>
      <c r="N7" s="43">
        <v>0.1</v>
      </c>
      <c r="O7" s="44">
        <f t="shared" si="1"/>
        <v>3.0425315512736199E-2</v>
      </c>
    </row>
    <row r="8" spans="1:15" x14ac:dyDescent="0.25">
      <c r="L8">
        <v>0.25</v>
      </c>
      <c r="M8">
        <f t="shared" si="0"/>
        <v>1.2344395497865269E-2</v>
      </c>
      <c r="N8" s="42">
        <v>0.125</v>
      </c>
      <c r="O8" s="44">
        <f t="shared" si="1"/>
        <v>6.1721977489326348E-2</v>
      </c>
    </row>
    <row r="9" spans="1:15" x14ac:dyDescent="0.25">
      <c r="B9" s="39" t="s">
        <v>258</v>
      </c>
      <c r="H9" s="39" t="s">
        <v>258</v>
      </c>
      <c r="L9">
        <v>0.3</v>
      </c>
      <c r="M9">
        <f t="shared" si="0"/>
        <v>2.2002618945904492E-2</v>
      </c>
      <c r="N9" s="42">
        <v>0.15</v>
      </c>
      <c r="O9" s="44">
        <f t="shared" si="1"/>
        <v>0.11001309472952246</v>
      </c>
    </row>
    <row r="10" spans="1:15" x14ac:dyDescent="0.25">
      <c r="B10" s="39" t="s">
        <v>259</v>
      </c>
      <c r="H10" s="39" t="s">
        <v>259</v>
      </c>
      <c r="L10">
        <v>0.35</v>
      </c>
      <c r="M10">
        <f t="shared" si="0"/>
        <v>3.5867053500140966E-2</v>
      </c>
      <c r="N10" s="43">
        <v>0.17499999999999999</v>
      </c>
      <c r="O10" s="44">
        <f t="shared" si="1"/>
        <v>0.17933526750070483</v>
      </c>
    </row>
    <row r="11" spans="1:15" x14ac:dyDescent="0.25">
      <c r="B11" s="39" t="s">
        <v>260</v>
      </c>
      <c r="H11" s="39" t="s">
        <v>260</v>
      </c>
      <c r="L11">
        <v>0.4</v>
      </c>
      <c r="M11">
        <f t="shared" si="0"/>
        <v>5.476841498710066E-2</v>
      </c>
      <c r="N11" s="42">
        <v>0.2</v>
      </c>
      <c r="O11" s="44">
        <f t="shared" si="1"/>
        <v>0.27384207493550328</v>
      </c>
    </row>
    <row r="12" spans="1:15" x14ac:dyDescent="0.25">
      <c r="B12" s="39" t="s">
        <v>261</v>
      </c>
      <c r="E12" s="10"/>
      <c r="F12" s="10"/>
      <c r="H12" s="39" t="s">
        <v>261</v>
      </c>
      <c r="L12">
        <v>0.45</v>
      </c>
      <c r="M12">
        <f t="shared" si="0"/>
        <v>7.9557965516581536E-2</v>
      </c>
      <c r="N12" s="42">
        <v>0.22500000000000001</v>
      </c>
      <c r="O12" s="44">
        <f t="shared" si="1"/>
        <v>0.39778982758290771</v>
      </c>
    </row>
    <row r="13" spans="1:15" x14ac:dyDescent="0.25">
      <c r="B13" s="39" t="s">
        <v>262</v>
      </c>
      <c r="F13" s="10"/>
      <c r="H13" s="39" t="s">
        <v>262</v>
      </c>
      <c r="L13">
        <v>0.5</v>
      </c>
      <c r="M13">
        <f t="shared" si="0"/>
        <v>0.11110533514582129</v>
      </c>
      <c r="N13" s="43">
        <v>0.25</v>
      </c>
      <c r="O13" s="44">
        <f t="shared" si="1"/>
        <v>0.55552667572910641</v>
      </c>
    </row>
    <row r="14" spans="1:15" x14ac:dyDescent="0.25">
      <c r="B14" s="39" t="s">
        <v>263</v>
      </c>
      <c r="F14" s="10"/>
      <c r="H14" s="39" t="s">
        <v>263</v>
      </c>
      <c r="L14">
        <v>0.55000000000000004</v>
      </c>
      <c r="M14">
        <f t="shared" si="0"/>
        <v>0.15029679711525923</v>
      </c>
      <c r="N14" s="42">
        <v>0.27500000000000002</v>
      </c>
      <c r="O14" s="44">
        <f t="shared" si="1"/>
        <v>0.75148398557629614</v>
      </c>
    </row>
    <row r="15" spans="1:15" x14ac:dyDescent="0.25">
      <c r="B15" s="39" t="s">
        <v>264</v>
      </c>
      <c r="F15" s="10"/>
      <c r="H15" s="39" t="s">
        <v>264</v>
      </c>
      <c r="L15">
        <v>0.6</v>
      </c>
      <c r="M15">
        <f t="shared" si="0"/>
        <v>0.19803386504371684</v>
      </c>
      <c r="N15" s="45">
        <v>0.3</v>
      </c>
      <c r="O15" s="46">
        <f t="shared" si="1"/>
        <v>0.99016932521858414</v>
      </c>
    </row>
    <row r="16" spans="1:15" x14ac:dyDescent="0.25">
      <c r="B16" s="39" t="s">
        <v>265</v>
      </c>
      <c r="F16" s="10"/>
      <c r="H16" s="39" t="s">
        <v>265</v>
      </c>
      <c r="L16">
        <v>0.65</v>
      </c>
      <c r="M16">
        <f t="shared" si="0"/>
        <v>0.25523212749091545</v>
      </c>
      <c r="N16" s="47">
        <v>0.32500000000000001</v>
      </c>
      <c r="O16" s="46">
        <f t="shared" si="1"/>
        <v>1.2761606374545773</v>
      </c>
    </row>
    <row r="17" spans="2:15" x14ac:dyDescent="0.25">
      <c r="B17" s="39" t="s">
        <v>266</v>
      </c>
      <c r="F17" s="10"/>
      <c r="H17" s="39" t="s">
        <v>266</v>
      </c>
      <c r="L17">
        <v>0.7</v>
      </c>
      <c r="M17">
        <f t="shared" si="0"/>
        <v>0.32282026288896842</v>
      </c>
      <c r="N17" s="45">
        <v>0.35</v>
      </c>
      <c r="O17" s="46">
        <f t="shared" si="1"/>
        <v>1.6141013144448422</v>
      </c>
    </row>
    <row r="18" spans="2:15" x14ac:dyDescent="0.25">
      <c r="B18" s="39" t="s">
        <v>267</v>
      </c>
      <c r="F18" s="10"/>
      <c r="H18" s="39" t="s">
        <v>267</v>
      </c>
      <c r="L18">
        <v>0.75</v>
      </c>
      <c r="M18">
        <f t="shared" si="0"/>
        <v>0.40173919495546268</v>
      </c>
      <c r="N18" s="45">
        <v>0.375</v>
      </c>
      <c r="O18" s="46">
        <f t="shared" si="1"/>
        <v>2.0086959747773134</v>
      </c>
    </row>
    <row r="19" spans="2:15" x14ac:dyDescent="0.25">
      <c r="B19" s="39" t="s">
        <v>268</v>
      </c>
      <c r="F19" s="10"/>
      <c r="H19" s="39" t="s">
        <v>268</v>
      </c>
      <c r="L19">
        <v>0.8</v>
      </c>
      <c r="M19">
        <f t="shared" si="0"/>
        <v>0.49294135979356263</v>
      </c>
      <c r="N19" s="47">
        <v>0.4</v>
      </c>
      <c r="O19" s="46">
        <f t="shared" si="1"/>
        <v>2.4647067989678133</v>
      </c>
    </row>
    <row r="20" spans="2:15" x14ac:dyDescent="0.25">
      <c r="B20" s="39" t="s">
        <v>269</v>
      </c>
      <c r="F20" s="10"/>
      <c r="H20" s="39" t="s">
        <v>269</v>
      </c>
      <c r="L20">
        <v>0.85</v>
      </c>
      <c r="M20">
        <f t="shared" si="0"/>
        <v>0.59739006334454892</v>
      </c>
      <c r="N20" s="45">
        <v>0.42499999999999999</v>
      </c>
      <c r="O20" s="46">
        <f t="shared" si="1"/>
        <v>2.9869503167227447</v>
      </c>
    </row>
    <row r="21" spans="2:15" x14ac:dyDescent="0.25">
      <c r="B21" s="39" t="s">
        <v>270</v>
      </c>
      <c r="F21" s="10"/>
      <c r="H21" s="39" t="s">
        <v>270</v>
      </c>
      <c r="L21">
        <v>0.9</v>
      </c>
      <c r="M21">
        <f t="shared" si="0"/>
        <v>0.71605891303207836</v>
      </c>
      <c r="N21" s="45">
        <v>0.45</v>
      </c>
      <c r="O21" s="46">
        <f t="shared" si="1"/>
        <v>3.5802945651603917</v>
      </c>
    </row>
    <row r="22" spans="2:15" x14ac:dyDescent="0.25">
      <c r="B22" s="39" t="s">
        <v>271</v>
      </c>
      <c r="F22" s="10"/>
      <c r="H22" s="39" t="s">
        <v>271</v>
      </c>
      <c r="L22">
        <v>0.95</v>
      </c>
      <c r="M22">
        <f t="shared" si="0"/>
        <v>0.84993131112139264</v>
      </c>
      <c r="N22" s="47">
        <v>0.47499999999999998</v>
      </c>
      <c r="O22" s="46">
        <f t="shared" si="1"/>
        <v>4.249656555606963</v>
      </c>
    </row>
    <row r="23" spans="2:15" x14ac:dyDescent="0.25">
      <c r="B23" s="39" t="s">
        <v>272</v>
      </c>
      <c r="F23" s="10"/>
      <c r="H23" s="39" t="s">
        <v>272</v>
      </c>
      <c r="L23">
        <v>1</v>
      </c>
      <c r="M23">
        <f t="shared" si="0"/>
        <v>1</v>
      </c>
      <c r="N23" s="45">
        <v>0.5</v>
      </c>
      <c r="O23" s="46">
        <f t="shared" si="1"/>
        <v>5</v>
      </c>
    </row>
    <row r="24" spans="2:15" x14ac:dyDescent="0.25">
      <c r="B24" s="39" t="s">
        <v>273</v>
      </c>
      <c r="F24" s="10"/>
      <c r="H24" s="39" t="s">
        <v>273</v>
      </c>
      <c r="L24">
        <v>0.95</v>
      </c>
      <c r="M24">
        <f>2-M22</f>
        <v>1.1500686888786074</v>
      </c>
      <c r="N24" s="45">
        <v>0.52500000000000002</v>
      </c>
      <c r="O24" s="46">
        <f t="shared" si="1"/>
        <v>5.750343444393037</v>
      </c>
    </row>
    <row r="25" spans="2:15" x14ac:dyDescent="0.25">
      <c r="B25" s="39" t="s">
        <v>274</v>
      </c>
      <c r="F25" s="10"/>
      <c r="H25" s="39" t="s">
        <v>274</v>
      </c>
      <c r="L25">
        <v>0.9</v>
      </c>
      <c r="M25">
        <f>2-M21</f>
        <v>1.2839410869679218</v>
      </c>
      <c r="N25" s="47">
        <v>0.55000000000000004</v>
      </c>
      <c r="O25" s="46">
        <f t="shared" si="1"/>
        <v>6.4197054348396083</v>
      </c>
    </row>
    <row r="26" spans="2:15" x14ac:dyDescent="0.25">
      <c r="B26" s="39" t="s">
        <v>275</v>
      </c>
      <c r="F26" s="10"/>
      <c r="H26" s="39" t="s">
        <v>275</v>
      </c>
      <c r="L26">
        <v>0.85</v>
      </c>
      <c r="M26">
        <f>2-M20</f>
        <v>1.402609936655451</v>
      </c>
      <c r="N26" s="45">
        <v>0.57499999999999996</v>
      </c>
      <c r="O26" s="46">
        <f t="shared" si="1"/>
        <v>7.0130496832772549</v>
      </c>
    </row>
    <row r="27" spans="2:15" x14ac:dyDescent="0.25">
      <c r="B27" s="39" t="s">
        <v>276</v>
      </c>
      <c r="F27" s="10"/>
      <c r="H27" s="39" t="s">
        <v>276</v>
      </c>
      <c r="L27">
        <v>0.8</v>
      </c>
      <c r="M27">
        <f>2-M19</f>
        <v>1.5070586402064374</v>
      </c>
      <c r="N27" s="45">
        <v>0.6</v>
      </c>
      <c r="O27" s="46">
        <f t="shared" si="1"/>
        <v>7.5352932010321876</v>
      </c>
    </row>
    <row r="28" spans="2:15" x14ac:dyDescent="0.25">
      <c r="B28" s="39" t="s">
        <v>277</v>
      </c>
      <c r="F28" s="10"/>
      <c r="H28" s="39" t="s">
        <v>277</v>
      </c>
      <c r="L28">
        <v>0.75</v>
      </c>
      <c r="M28">
        <f>2-M18</f>
        <v>1.5982608050445373</v>
      </c>
      <c r="N28" s="47">
        <v>0.625</v>
      </c>
      <c r="O28" s="46">
        <f t="shared" si="1"/>
        <v>7.9913040252226866</v>
      </c>
    </row>
    <row r="29" spans="2:15" x14ac:dyDescent="0.25">
      <c r="B29" s="39" t="s">
        <v>278</v>
      </c>
      <c r="F29" s="10"/>
      <c r="H29" s="39" t="s">
        <v>278</v>
      </c>
      <c r="L29">
        <v>0.7</v>
      </c>
      <c r="M29">
        <f>2-M17</f>
        <v>1.6771797371110315</v>
      </c>
      <c r="N29" s="45">
        <v>0.65</v>
      </c>
      <c r="O29" s="46">
        <f t="shared" si="1"/>
        <v>8.3858986855551585</v>
      </c>
    </row>
    <row r="30" spans="2:15" x14ac:dyDescent="0.25">
      <c r="F30" s="10"/>
      <c r="L30">
        <v>0.65</v>
      </c>
      <c r="M30">
        <f>2-M16</f>
        <v>1.7447678725090845</v>
      </c>
      <c r="N30" s="45">
        <v>0.67500000000000004</v>
      </c>
      <c r="O30" s="46">
        <f t="shared" si="1"/>
        <v>8.7238393625454229</v>
      </c>
    </row>
    <row r="31" spans="2:15" x14ac:dyDescent="0.25">
      <c r="F31" s="10"/>
      <c r="L31">
        <v>0.6</v>
      </c>
      <c r="M31">
        <f>2-M15</f>
        <v>1.8019661349562832</v>
      </c>
      <c r="N31" s="47">
        <v>0.7</v>
      </c>
      <c r="O31" s="46">
        <f t="shared" si="1"/>
        <v>9.0098306747814156</v>
      </c>
    </row>
    <row r="32" spans="2:15" x14ac:dyDescent="0.25">
      <c r="B32" t="s">
        <v>330</v>
      </c>
      <c r="F32" s="10"/>
      <c r="H32" t="s">
        <v>336</v>
      </c>
      <c r="L32">
        <v>0.55000000000000004</v>
      </c>
      <c r="M32">
        <f>2-M14</f>
        <v>1.8497032028847409</v>
      </c>
      <c r="N32" s="42">
        <v>0.72499999999999998</v>
      </c>
      <c r="O32" s="44">
        <f t="shared" si="1"/>
        <v>9.2485160144237035</v>
      </c>
    </row>
    <row r="33" spans="2:17" x14ac:dyDescent="0.25">
      <c r="L33">
        <v>0.5</v>
      </c>
      <c r="M33">
        <f>2-M13</f>
        <v>1.8888946648541787</v>
      </c>
      <c r="N33" s="42">
        <v>0.75</v>
      </c>
      <c r="O33" s="44">
        <f t="shared" si="1"/>
        <v>9.4444733242708931</v>
      </c>
      <c r="Q33" t="s">
        <v>353</v>
      </c>
    </row>
    <row r="34" spans="2:17" x14ac:dyDescent="0.25">
      <c r="B34" t="s">
        <v>331</v>
      </c>
      <c r="H34" t="s">
        <v>337</v>
      </c>
      <c r="L34">
        <v>0.45</v>
      </c>
      <c r="M34">
        <f>2-M12</f>
        <v>1.9204420344834185</v>
      </c>
      <c r="N34" s="43">
        <v>0.77500000000000002</v>
      </c>
      <c r="O34" s="44">
        <f t="shared" si="1"/>
        <v>9.6022101724170934</v>
      </c>
    </row>
    <row r="35" spans="2:17" x14ac:dyDescent="0.25">
      <c r="B35" t="s">
        <v>332</v>
      </c>
      <c r="H35" t="s">
        <v>338</v>
      </c>
      <c r="L35">
        <v>0.39999999999999902</v>
      </c>
      <c r="M35">
        <f>2-M11</f>
        <v>1.9452315850128994</v>
      </c>
      <c r="N35" s="42">
        <v>0.8</v>
      </c>
      <c r="O35" s="44">
        <f t="shared" si="1"/>
        <v>9.7261579250644967</v>
      </c>
      <c r="Q35" t="s">
        <v>354</v>
      </c>
    </row>
    <row r="36" spans="2:17" x14ac:dyDescent="0.25">
      <c r="B36" t="s">
        <v>333</v>
      </c>
      <c r="H36" t="s">
        <v>339</v>
      </c>
      <c r="L36">
        <v>0.34999999999999898</v>
      </c>
      <c r="M36">
        <f>2-M10</f>
        <v>1.9641329464998591</v>
      </c>
      <c r="N36" s="42">
        <v>0.82499999999999996</v>
      </c>
      <c r="O36" s="44">
        <f t="shared" si="1"/>
        <v>9.8206647324992957</v>
      </c>
    </row>
    <row r="37" spans="2:17" x14ac:dyDescent="0.25">
      <c r="H37" t="s">
        <v>340</v>
      </c>
      <c r="L37">
        <v>0.29999999999999899</v>
      </c>
      <c r="M37">
        <f>2-M9</f>
        <v>1.9779973810540956</v>
      </c>
      <c r="N37" s="43">
        <v>0.85</v>
      </c>
      <c r="O37" s="44">
        <f t="shared" si="1"/>
        <v>9.8899869052704776</v>
      </c>
    </row>
    <row r="38" spans="2:17" x14ac:dyDescent="0.25">
      <c r="B38" t="s">
        <v>334</v>
      </c>
      <c r="H38" t="s">
        <v>341</v>
      </c>
      <c r="L38">
        <v>0.249999999999999</v>
      </c>
      <c r="M38">
        <f>2-M8</f>
        <v>1.9876556045021347</v>
      </c>
      <c r="N38" s="42">
        <v>0.875</v>
      </c>
      <c r="O38" s="44">
        <f t="shared" si="1"/>
        <v>9.9382780225106728</v>
      </c>
    </row>
    <row r="39" spans="2:17" x14ac:dyDescent="0.25">
      <c r="B39" t="s">
        <v>335</v>
      </c>
      <c r="H39" t="s">
        <v>342</v>
      </c>
      <c r="L39">
        <v>0.19999999999999901</v>
      </c>
      <c r="M39">
        <f>2-M7</f>
        <v>1.9939149368974527</v>
      </c>
      <c r="N39" s="42">
        <v>0.9</v>
      </c>
      <c r="O39" s="44">
        <f t="shared" si="1"/>
        <v>9.969574684487263</v>
      </c>
    </row>
    <row r="40" spans="2:17" x14ac:dyDescent="0.25">
      <c r="H40" t="s">
        <v>343</v>
      </c>
      <c r="L40">
        <v>0.149999999999999</v>
      </c>
      <c r="M40">
        <f>2-M6</f>
        <v>1.9975553916479294</v>
      </c>
      <c r="N40" s="43">
        <v>0.92500000000000004</v>
      </c>
      <c r="O40" s="44">
        <f t="shared" si="1"/>
        <v>9.9877769582396461</v>
      </c>
    </row>
    <row r="41" spans="2:17" x14ac:dyDescent="0.25">
      <c r="H41" t="s">
        <v>344</v>
      </c>
      <c r="L41">
        <v>9.9999999999999006E-2</v>
      </c>
      <c r="M41">
        <f>2-M5</f>
        <v>1.999323917024608</v>
      </c>
      <c r="N41" s="42">
        <v>0.95</v>
      </c>
      <c r="O41" s="44">
        <f t="shared" si="1"/>
        <v>9.9966195851230406</v>
      </c>
    </row>
    <row r="42" spans="2:17" x14ac:dyDescent="0.25">
      <c r="H42" t="s">
        <v>345</v>
      </c>
      <c r="L42">
        <v>4.9999999999998997E-2</v>
      </c>
      <c r="M42">
        <f>2-M4</f>
        <v>1.9999248835744328</v>
      </c>
      <c r="N42" s="42">
        <v>0.97499999999999998</v>
      </c>
      <c r="O42" s="44">
        <f t="shared" si="1"/>
        <v>9.9996244178721643</v>
      </c>
    </row>
    <row r="43" spans="2:17" x14ac:dyDescent="0.25">
      <c r="H43" t="s">
        <v>346</v>
      </c>
      <c r="L43">
        <v>0</v>
      </c>
      <c r="M43">
        <f>2-M3</f>
        <v>2</v>
      </c>
      <c r="N43" s="43">
        <v>1</v>
      </c>
      <c r="O43" s="44">
        <f t="shared" si="1"/>
        <v>10</v>
      </c>
    </row>
    <row r="44" spans="2:17" x14ac:dyDescent="0.25">
      <c r="H44" t="s">
        <v>347</v>
      </c>
    </row>
    <row r="45" spans="2:17" x14ac:dyDescent="0.25">
      <c r="H45" t="s">
        <v>348</v>
      </c>
    </row>
    <row r="46" spans="2:17" x14ac:dyDescent="0.25">
      <c r="H46" t="s">
        <v>349</v>
      </c>
    </row>
    <row r="47" spans="2:17" x14ac:dyDescent="0.25">
      <c r="H47" t="s">
        <v>350</v>
      </c>
    </row>
    <row r="48" spans="2:17" x14ac:dyDescent="0.25">
      <c r="H48" t="s">
        <v>351</v>
      </c>
    </row>
    <row r="49" spans="8:13" x14ac:dyDescent="0.25">
      <c r="H49" t="s">
        <v>352</v>
      </c>
      <c r="M49" s="38"/>
    </row>
  </sheetData>
  <mergeCells count="2">
    <mergeCell ref="B4:C4"/>
    <mergeCell ref="G4:H4"/>
  </mergeCells>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24"/>
  <sheetViews>
    <sheetView zoomScale="80" zoomScaleNormal="80" workbookViewId="0">
      <selection activeCell="A13" sqref="A13"/>
    </sheetView>
  </sheetViews>
  <sheetFormatPr baseColWidth="10" defaultColWidth="11.42578125" defaultRowHeight="15" x14ac:dyDescent="0.25"/>
  <cols>
    <col min="1" max="1" width="6.7109375" style="100" customWidth="1"/>
    <col min="2" max="6" width="7.5703125" style="100" customWidth="1"/>
    <col min="7" max="7" width="6.28515625" bestFit="1" customWidth="1"/>
    <col min="8" max="8" width="6.42578125" customWidth="1"/>
    <col min="9" max="23" width="6.28515625" bestFit="1" customWidth="1"/>
    <col min="24" max="24" width="8.5703125" customWidth="1"/>
    <col min="25" max="25" width="8" customWidth="1"/>
    <col min="26" max="33" width="4" bestFit="1" customWidth="1"/>
    <col min="34" max="34" width="4.140625" customWidth="1"/>
    <col min="35" max="42" width="4" bestFit="1" customWidth="1"/>
    <col min="43" max="43" width="3" bestFit="1" customWidth="1"/>
    <col min="44" max="44" width="5.5703125" bestFit="1" customWidth="1"/>
    <col min="48" max="48" width="3.5703125" bestFit="1" customWidth="1"/>
    <col min="49" max="66" width="4" bestFit="1" customWidth="1"/>
    <col min="67" max="67" width="3" bestFit="1" customWidth="1"/>
    <col min="68" max="68" width="5.5703125" bestFit="1" customWidth="1"/>
  </cols>
  <sheetData>
    <row r="1" spans="1:16383" x14ac:dyDescent="0.25">
      <c r="A1" s="293" t="s">
        <v>1431</v>
      </c>
      <c r="B1" s="293"/>
      <c r="C1" s="293"/>
      <c r="D1" s="293"/>
      <c r="E1" s="293"/>
      <c r="F1" s="293"/>
      <c r="G1" s="293"/>
      <c r="H1" s="293"/>
      <c r="I1" s="293"/>
      <c r="J1" s="293"/>
      <c r="K1" s="293"/>
      <c r="L1" s="293"/>
      <c r="M1" s="293"/>
      <c r="N1" s="293"/>
      <c r="O1" s="293"/>
      <c r="P1" s="293"/>
      <c r="Q1" s="293"/>
      <c r="R1" s="293"/>
      <c r="S1" s="293"/>
      <c r="T1" s="293"/>
      <c r="U1" s="293"/>
      <c r="V1" s="293"/>
      <c r="W1" s="293"/>
      <c r="X1" s="371" t="s">
        <v>1492</v>
      </c>
      <c r="AS1" s="293"/>
      <c r="AT1" s="293"/>
      <c r="AU1" s="293"/>
      <c r="AV1" s="293"/>
      <c r="AW1" s="293"/>
      <c r="AX1" s="293"/>
      <c r="AY1" s="293"/>
      <c r="AZ1" s="293"/>
      <c r="BA1" s="293"/>
      <c r="BB1" s="293"/>
      <c r="BC1" s="293"/>
      <c r="BD1" s="293"/>
      <c r="BE1" s="293"/>
      <c r="BF1" s="293"/>
      <c r="BG1" s="293"/>
      <c r="BH1" s="293"/>
      <c r="BI1" s="293"/>
      <c r="BJ1" s="293"/>
      <c r="BK1" s="293"/>
      <c r="BL1" s="293"/>
      <c r="BM1" s="293"/>
      <c r="BN1" s="293"/>
      <c r="BO1" s="293"/>
      <c r="BP1" s="293"/>
      <c r="BQ1" s="293"/>
      <c r="BR1" s="293"/>
      <c r="BS1" s="293"/>
      <c r="BT1" s="293"/>
      <c r="BU1" s="293"/>
      <c r="BV1" s="293"/>
      <c r="BW1" s="293"/>
      <c r="BX1" s="293"/>
      <c r="BY1" s="293"/>
      <c r="BZ1" s="293"/>
      <c r="CA1" s="293"/>
      <c r="CB1" s="293"/>
      <c r="CC1" s="293"/>
      <c r="CD1" s="293"/>
      <c r="CE1" s="293"/>
      <c r="CF1" s="293"/>
      <c r="CG1" s="293"/>
      <c r="CH1" s="293"/>
      <c r="CI1" s="293"/>
      <c r="CJ1" s="293"/>
      <c r="CK1" s="293"/>
      <c r="CL1" s="293"/>
      <c r="CM1" s="293"/>
      <c r="CN1" s="293"/>
      <c r="CO1" s="293"/>
      <c r="CP1" s="293"/>
      <c r="CQ1" s="293"/>
      <c r="CR1" s="293"/>
      <c r="CS1" s="293"/>
      <c r="CT1" s="293"/>
      <c r="CU1" s="293"/>
      <c r="CV1" s="293"/>
      <c r="CW1" s="293"/>
      <c r="CX1" s="293"/>
      <c r="CY1" s="293"/>
      <c r="CZ1" s="293"/>
      <c r="DA1" s="293"/>
      <c r="DB1" s="293"/>
      <c r="DC1" s="293"/>
      <c r="DD1" s="293"/>
      <c r="DE1" s="293"/>
      <c r="DF1" s="293"/>
      <c r="DG1" s="293"/>
      <c r="DH1" s="293"/>
      <c r="DI1" s="293"/>
      <c r="DJ1" s="293"/>
      <c r="DK1" s="293"/>
      <c r="DL1" s="293"/>
      <c r="DM1" s="293"/>
      <c r="DN1" s="293"/>
      <c r="DO1" s="293"/>
      <c r="DP1" s="293"/>
      <c r="DQ1" s="293"/>
      <c r="DR1" s="293"/>
      <c r="DS1" s="293"/>
      <c r="DT1" s="293"/>
      <c r="DU1" s="293"/>
      <c r="DV1" s="293"/>
      <c r="DW1" s="293"/>
      <c r="DX1" s="293"/>
      <c r="DY1" s="293"/>
      <c r="DZ1" s="293"/>
      <c r="EA1" s="293"/>
      <c r="EB1" s="293"/>
      <c r="EC1" s="293"/>
      <c r="ED1" s="293"/>
      <c r="EE1" s="293"/>
      <c r="EF1" s="293"/>
      <c r="EG1" s="293"/>
      <c r="EH1" s="293"/>
      <c r="EI1" s="293"/>
      <c r="EJ1" s="293"/>
      <c r="EK1" s="293"/>
      <c r="EL1" s="293"/>
      <c r="EM1" s="293"/>
      <c r="EN1" s="293"/>
      <c r="EO1" s="293"/>
      <c r="EP1" s="293"/>
      <c r="EQ1" s="293"/>
      <c r="ER1" s="293"/>
      <c r="ES1" s="293"/>
      <c r="ET1" s="293"/>
      <c r="EU1" s="293"/>
      <c r="EV1" s="293"/>
      <c r="EW1" s="293"/>
      <c r="EX1" s="293"/>
      <c r="EY1" s="293"/>
      <c r="EZ1" s="293"/>
      <c r="FA1" s="293"/>
      <c r="FB1" s="293"/>
      <c r="FC1" s="293"/>
      <c r="FD1" s="293"/>
      <c r="FE1" s="293"/>
      <c r="FF1" s="293"/>
      <c r="FG1" s="293"/>
      <c r="FH1" s="293"/>
      <c r="FI1" s="293"/>
      <c r="FJ1" s="293"/>
      <c r="FK1" s="293"/>
      <c r="FL1" s="293"/>
      <c r="FM1" s="293"/>
      <c r="FN1" s="293"/>
      <c r="FO1" s="293"/>
      <c r="FP1" s="293"/>
      <c r="FQ1" s="293"/>
      <c r="FR1" s="293"/>
      <c r="FS1" s="293"/>
      <c r="FT1" s="293"/>
      <c r="FU1" s="293"/>
      <c r="FV1" s="293"/>
      <c r="FW1" s="293"/>
      <c r="FX1" s="293"/>
      <c r="FY1" s="293"/>
      <c r="FZ1" s="293"/>
      <c r="GA1" s="293"/>
      <c r="GB1" s="293"/>
      <c r="GC1" s="293"/>
      <c r="GD1" s="293"/>
      <c r="GE1" s="293"/>
      <c r="GF1" s="293"/>
      <c r="GG1" s="293"/>
      <c r="GH1" s="293"/>
      <c r="GI1" s="293"/>
      <c r="GJ1" s="293"/>
      <c r="GK1" s="293"/>
      <c r="GL1" s="293"/>
      <c r="GM1" s="293"/>
      <c r="GN1" s="293"/>
      <c r="GO1" s="293"/>
      <c r="GP1" s="293"/>
      <c r="GQ1" s="293"/>
      <c r="GR1" s="293"/>
      <c r="GS1" s="293"/>
      <c r="GT1" s="293"/>
      <c r="GU1" s="293"/>
      <c r="GV1" s="293"/>
      <c r="GW1" s="293"/>
      <c r="GX1" s="293"/>
      <c r="GY1" s="293"/>
      <c r="GZ1" s="293"/>
      <c r="HA1" s="293"/>
      <c r="HB1" s="293"/>
      <c r="HC1" s="293"/>
      <c r="HD1" s="293"/>
      <c r="HE1" s="293"/>
      <c r="HF1" s="293"/>
      <c r="HG1" s="293"/>
      <c r="HH1" s="293"/>
      <c r="HI1" s="293"/>
      <c r="HJ1" s="293"/>
      <c r="HK1" s="293"/>
      <c r="HL1" s="293"/>
      <c r="HM1" s="293"/>
      <c r="HN1" s="293"/>
      <c r="HO1" s="293"/>
      <c r="HP1" s="293"/>
      <c r="HQ1" s="293"/>
      <c r="HR1" s="293"/>
      <c r="HS1" s="293"/>
      <c r="HT1" s="293"/>
      <c r="HU1" s="293"/>
      <c r="HV1" s="293"/>
      <c r="HW1" s="293"/>
      <c r="HX1" s="293"/>
      <c r="HY1" s="293"/>
      <c r="HZ1" s="293"/>
      <c r="IA1" s="293"/>
      <c r="IB1" s="293"/>
      <c r="IC1" s="293"/>
      <c r="ID1" s="293"/>
      <c r="IE1" s="293"/>
      <c r="IF1" s="293"/>
      <c r="IG1" s="293"/>
      <c r="IH1" s="293"/>
      <c r="II1" s="293"/>
      <c r="IJ1" s="293"/>
      <c r="IK1" s="293"/>
      <c r="IL1" s="293"/>
      <c r="IM1" s="293"/>
      <c r="IN1" s="293"/>
      <c r="IO1" s="293"/>
      <c r="IP1" s="293"/>
      <c r="IQ1" s="293"/>
      <c r="IR1" s="293"/>
      <c r="IS1" s="293"/>
      <c r="IT1" s="293"/>
      <c r="IU1" s="293"/>
      <c r="IV1" s="293"/>
      <c r="IW1" s="293"/>
      <c r="IX1" s="293"/>
      <c r="IY1" s="293"/>
      <c r="IZ1" s="293"/>
      <c r="JA1" s="293"/>
      <c r="JB1" s="293"/>
      <c r="JC1" s="293"/>
      <c r="JD1" s="293"/>
      <c r="JE1" s="293"/>
      <c r="JF1" s="293"/>
      <c r="JG1" s="293"/>
      <c r="JH1" s="293"/>
      <c r="JI1" s="293"/>
      <c r="JJ1" s="293"/>
      <c r="JK1" s="293"/>
      <c r="JL1" s="293"/>
      <c r="JM1" s="293"/>
      <c r="JN1" s="293"/>
      <c r="JO1" s="293"/>
      <c r="JP1" s="293"/>
      <c r="JQ1" s="293"/>
      <c r="JR1" s="293"/>
      <c r="JS1" s="293"/>
      <c r="JT1" s="293"/>
      <c r="JU1" s="293"/>
      <c r="JV1" s="293"/>
      <c r="JW1" s="293"/>
      <c r="JX1" s="293"/>
      <c r="JY1" s="293"/>
      <c r="JZ1" s="293"/>
      <c r="KA1" s="293"/>
      <c r="KB1" s="293"/>
      <c r="KC1" s="293"/>
      <c r="KD1" s="293"/>
      <c r="KE1" s="293"/>
      <c r="KF1" s="293"/>
      <c r="KG1" s="293"/>
      <c r="KH1" s="293"/>
      <c r="KI1" s="293"/>
      <c r="KJ1" s="293"/>
      <c r="KK1" s="293"/>
      <c r="KL1" s="293"/>
      <c r="KM1" s="293"/>
      <c r="KN1" s="293"/>
      <c r="KO1" s="293"/>
      <c r="KP1" s="293"/>
      <c r="KQ1" s="293"/>
      <c r="KR1" s="293"/>
      <c r="KS1" s="293"/>
      <c r="KT1" s="293"/>
      <c r="KU1" s="293"/>
      <c r="KV1" s="293"/>
      <c r="KW1" s="293"/>
      <c r="KX1" s="293"/>
      <c r="KY1" s="293"/>
      <c r="KZ1" s="293"/>
      <c r="LA1" s="293"/>
      <c r="LB1" s="293"/>
      <c r="LC1" s="293"/>
      <c r="LD1" s="293"/>
      <c r="LE1" s="293"/>
      <c r="LF1" s="293"/>
      <c r="LG1" s="293"/>
      <c r="LH1" s="293"/>
      <c r="LI1" s="293"/>
      <c r="LJ1" s="293"/>
      <c r="LK1" s="293"/>
      <c r="LL1" s="293"/>
      <c r="LM1" s="293"/>
      <c r="LN1" s="293"/>
      <c r="LO1" s="293"/>
      <c r="LP1" s="293"/>
      <c r="LQ1" s="293"/>
      <c r="LR1" s="293"/>
      <c r="LS1" s="293"/>
      <c r="LT1" s="293"/>
      <c r="LU1" s="293"/>
      <c r="LV1" s="293"/>
      <c r="LW1" s="293"/>
      <c r="LX1" s="293"/>
      <c r="LY1" s="293"/>
      <c r="LZ1" s="293"/>
      <c r="MA1" s="293"/>
      <c r="MB1" s="293"/>
      <c r="MC1" s="293"/>
      <c r="MD1" s="293"/>
      <c r="ME1" s="293"/>
      <c r="MF1" s="293"/>
      <c r="MG1" s="293"/>
      <c r="MH1" s="293"/>
      <c r="MI1" s="293"/>
      <c r="MJ1" s="293"/>
      <c r="MK1" s="293"/>
      <c r="ML1" s="293"/>
      <c r="MM1" s="293"/>
      <c r="MN1" s="293"/>
      <c r="MO1" s="293"/>
      <c r="MP1" s="293"/>
      <c r="MQ1" s="293"/>
      <c r="MR1" s="293"/>
      <c r="MS1" s="293"/>
      <c r="MT1" s="293"/>
      <c r="MU1" s="293"/>
      <c r="MV1" s="293"/>
      <c r="MW1" s="293"/>
      <c r="MX1" s="293"/>
      <c r="MY1" s="293"/>
      <c r="MZ1" s="293"/>
      <c r="NA1" s="293"/>
      <c r="NB1" s="293"/>
      <c r="NC1" s="293"/>
      <c r="ND1" s="293"/>
      <c r="NE1" s="293"/>
      <c r="NF1" s="293"/>
      <c r="NG1" s="293"/>
      <c r="NH1" s="293"/>
      <c r="NI1" s="293"/>
      <c r="NJ1" s="293"/>
      <c r="NK1" s="293"/>
      <c r="NL1" s="293"/>
      <c r="NM1" s="293"/>
      <c r="NN1" s="293"/>
      <c r="NO1" s="293"/>
      <c r="NP1" s="293"/>
      <c r="NQ1" s="293"/>
      <c r="NR1" s="293"/>
      <c r="NS1" s="293"/>
      <c r="NT1" s="293"/>
      <c r="NU1" s="293"/>
      <c r="NV1" s="293"/>
      <c r="NW1" s="293"/>
      <c r="NX1" s="293"/>
      <c r="NY1" s="293"/>
      <c r="NZ1" s="293"/>
      <c r="OA1" s="293"/>
      <c r="OB1" s="293"/>
      <c r="OC1" s="293"/>
      <c r="OD1" s="293"/>
      <c r="OE1" s="293"/>
      <c r="OF1" s="293"/>
      <c r="OG1" s="293"/>
      <c r="OH1" s="293"/>
      <c r="OI1" s="293"/>
      <c r="OJ1" s="293"/>
      <c r="OK1" s="293"/>
      <c r="OL1" s="293"/>
      <c r="OM1" s="293"/>
      <c r="ON1" s="293"/>
      <c r="OO1" s="293"/>
      <c r="OP1" s="293"/>
      <c r="OQ1" s="293"/>
      <c r="OR1" s="293"/>
      <c r="OS1" s="293"/>
      <c r="OT1" s="293"/>
      <c r="OU1" s="293"/>
      <c r="OV1" s="293"/>
      <c r="OW1" s="293"/>
      <c r="OX1" s="293"/>
      <c r="OY1" s="293"/>
      <c r="OZ1" s="293"/>
      <c r="PA1" s="293"/>
      <c r="PB1" s="293"/>
      <c r="PC1" s="293"/>
      <c r="PD1" s="293"/>
      <c r="PE1" s="293"/>
      <c r="PF1" s="293"/>
      <c r="PG1" s="293"/>
      <c r="PH1" s="293"/>
      <c r="PI1" s="293"/>
      <c r="PJ1" s="293"/>
      <c r="PK1" s="293"/>
      <c r="PL1" s="293"/>
      <c r="PM1" s="293"/>
      <c r="PN1" s="293"/>
      <c r="PO1" s="293"/>
      <c r="PP1" s="293"/>
      <c r="PQ1" s="293"/>
      <c r="PR1" s="293"/>
      <c r="PS1" s="293"/>
      <c r="PT1" s="293"/>
      <c r="PU1" s="293"/>
      <c r="PV1" s="293"/>
      <c r="PW1" s="293"/>
      <c r="PX1" s="293"/>
      <c r="PY1" s="293"/>
      <c r="PZ1" s="293"/>
      <c r="QA1" s="293"/>
      <c r="QB1" s="293"/>
      <c r="QC1" s="293"/>
      <c r="QD1" s="293"/>
      <c r="QE1" s="293"/>
      <c r="QF1" s="293"/>
      <c r="QG1" s="293"/>
      <c r="QH1" s="293"/>
      <c r="QI1" s="293"/>
      <c r="QJ1" s="293"/>
      <c r="QK1" s="293"/>
      <c r="QL1" s="293"/>
      <c r="QM1" s="293"/>
      <c r="QN1" s="293"/>
      <c r="QO1" s="293"/>
      <c r="QP1" s="293"/>
      <c r="QQ1" s="293"/>
      <c r="QR1" s="293"/>
      <c r="QS1" s="293"/>
      <c r="QT1" s="293"/>
      <c r="QU1" s="293"/>
      <c r="QV1" s="293"/>
      <c r="QW1" s="293"/>
      <c r="QX1" s="293"/>
      <c r="QY1" s="293"/>
      <c r="QZ1" s="293"/>
      <c r="RA1" s="293"/>
      <c r="RB1" s="293"/>
      <c r="RC1" s="293"/>
      <c r="RD1" s="293"/>
      <c r="RE1" s="293"/>
      <c r="RF1" s="293"/>
      <c r="RG1" s="293"/>
      <c r="RH1" s="293"/>
      <c r="RI1" s="293"/>
      <c r="RJ1" s="293"/>
      <c r="RK1" s="293"/>
      <c r="RL1" s="293"/>
      <c r="RM1" s="293"/>
      <c r="RN1" s="293"/>
      <c r="RO1" s="293"/>
      <c r="RP1" s="293"/>
      <c r="RQ1" s="293"/>
      <c r="RR1" s="293"/>
      <c r="RS1" s="293"/>
      <c r="RT1" s="293"/>
      <c r="RU1" s="293"/>
      <c r="RV1" s="293"/>
      <c r="RW1" s="293"/>
      <c r="RX1" s="293"/>
      <c r="RY1" s="293"/>
      <c r="RZ1" s="293"/>
      <c r="SA1" s="293"/>
      <c r="SB1" s="293"/>
      <c r="SC1" s="293"/>
      <c r="SD1" s="293"/>
      <c r="SE1" s="293"/>
      <c r="SF1" s="293"/>
      <c r="SG1" s="293"/>
      <c r="SH1" s="293"/>
      <c r="SI1" s="293"/>
      <c r="SJ1" s="293"/>
      <c r="SK1" s="293"/>
      <c r="SL1" s="293"/>
      <c r="SM1" s="293"/>
      <c r="SN1" s="293"/>
      <c r="SO1" s="293"/>
      <c r="SP1" s="293"/>
      <c r="SQ1" s="293"/>
      <c r="SR1" s="293"/>
      <c r="SS1" s="293"/>
      <c r="ST1" s="293"/>
      <c r="SU1" s="293"/>
      <c r="SV1" s="293"/>
      <c r="SW1" s="293"/>
      <c r="SX1" s="293"/>
      <c r="SY1" s="293"/>
      <c r="SZ1" s="293"/>
      <c r="TA1" s="293"/>
      <c r="TB1" s="293"/>
      <c r="TC1" s="293"/>
      <c r="TD1" s="293"/>
      <c r="TE1" s="293"/>
      <c r="TF1" s="293"/>
      <c r="TG1" s="293"/>
      <c r="TH1" s="293"/>
      <c r="TI1" s="293"/>
      <c r="TJ1" s="293"/>
      <c r="TK1" s="293"/>
      <c r="TL1" s="293"/>
      <c r="TM1" s="293"/>
      <c r="TN1" s="293"/>
      <c r="TO1" s="293"/>
      <c r="TP1" s="293"/>
      <c r="TQ1" s="293"/>
      <c r="TR1" s="293"/>
      <c r="TS1" s="293"/>
      <c r="TT1" s="293"/>
      <c r="TU1" s="293"/>
      <c r="TV1" s="293"/>
      <c r="TW1" s="293"/>
      <c r="TX1" s="293"/>
      <c r="TY1" s="293"/>
      <c r="TZ1" s="293"/>
      <c r="UA1" s="293"/>
      <c r="UB1" s="293"/>
      <c r="UC1" s="293"/>
      <c r="UD1" s="293"/>
      <c r="UE1" s="293"/>
      <c r="UF1" s="293"/>
      <c r="UG1" s="293"/>
      <c r="UH1" s="293"/>
      <c r="UI1" s="293"/>
      <c r="UJ1" s="293"/>
      <c r="UK1" s="293"/>
      <c r="UL1" s="293"/>
      <c r="UM1" s="293"/>
      <c r="UN1" s="293"/>
      <c r="UO1" s="293"/>
      <c r="UP1" s="293"/>
      <c r="UQ1" s="293"/>
      <c r="UR1" s="293"/>
      <c r="US1" s="293"/>
      <c r="UT1" s="293"/>
      <c r="UU1" s="293"/>
      <c r="UV1" s="293"/>
      <c r="UW1" s="293"/>
      <c r="UX1" s="293"/>
      <c r="UY1" s="293"/>
      <c r="UZ1" s="293"/>
      <c r="VA1" s="293"/>
      <c r="VB1" s="293"/>
      <c r="VC1" s="293"/>
      <c r="VD1" s="293"/>
      <c r="VE1" s="293"/>
      <c r="VF1" s="293"/>
      <c r="VG1" s="293"/>
      <c r="VH1" s="293"/>
      <c r="VI1" s="293"/>
      <c r="VJ1" s="293"/>
      <c r="VK1" s="293"/>
      <c r="VL1" s="293"/>
      <c r="VM1" s="293"/>
      <c r="VN1" s="293"/>
      <c r="VO1" s="293"/>
      <c r="VP1" s="293"/>
      <c r="VQ1" s="293"/>
      <c r="VR1" s="293"/>
      <c r="VS1" s="293"/>
      <c r="VT1" s="293"/>
      <c r="VU1" s="293"/>
      <c r="VV1" s="293"/>
      <c r="VW1" s="293"/>
      <c r="VX1" s="293"/>
      <c r="VY1" s="293"/>
      <c r="VZ1" s="293"/>
      <c r="WA1" s="293"/>
      <c r="WB1" s="293"/>
      <c r="WC1" s="293"/>
      <c r="WD1" s="293"/>
      <c r="WE1" s="293"/>
      <c r="WF1" s="293"/>
      <c r="WG1" s="293"/>
      <c r="WH1" s="293"/>
      <c r="WI1" s="293"/>
      <c r="WJ1" s="293"/>
      <c r="WK1" s="293"/>
      <c r="WL1" s="293"/>
      <c r="WM1" s="293"/>
      <c r="WN1" s="293"/>
      <c r="WO1" s="293"/>
      <c r="WP1" s="293"/>
      <c r="WQ1" s="293"/>
      <c r="WR1" s="293"/>
      <c r="WS1" s="293"/>
      <c r="WT1" s="293"/>
      <c r="WU1" s="293"/>
      <c r="WV1" s="293"/>
      <c r="WW1" s="293"/>
      <c r="WX1" s="293"/>
      <c r="WY1" s="293"/>
      <c r="WZ1" s="293"/>
      <c r="XA1" s="293"/>
      <c r="XB1" s="293"/>
      <c r="XC1" s="293"/>
      <c r="XD1" s="293"/>
      <c r="XE1" s="293"/>
      <c r="XF1" s="293"/>
      <c r="XG1" s="293"/>
      <c r="XH1" s="293"/>
      <c r="XI1" s="293"/>
      <c r="XJ1" s="293"/>
      <c r="XK1" s="293"/>
      <c r="XL1" s="293"/>
      <c r="XM1" s="293"/>
      <c r="XN1" s="293"/>
      <c r="XO1" s="293"/>
      <c r="XP1" s="293"/>
      <c r="XQ1" s="293"/>
      <c r="XR1" s="293"/>
      <c r="XS1" s="293"/>
      <c r="XT1" s="293"/>
      <c r="XU1" s="293"/>
      <c r="XV1" s="293"/>
      <c r="XW1" s="293"/>
      <c r="XX1" s="293"/>
      <c r="XY1" s="293"/>
      <c r="XZ1" s="293"/>
      <c r="YA1" s="293"/>
      <c r="YB1" s="293"/>
      <c r="YC1" s="293"/>
      <c r="YD1" s="293"/>
      <c r="YE1" s="293"/>
      <c r="YF1" s="293"/>
      <c r="YG1" s="293"/>
      <c r="YH1" s="293"/>
      <c r="YI1" s="293"/>
      <c r="YJ1" s="293"/>
      <c r="YK1" s="293"/>
      <c r="YL1" s="293"/>
      <c r="YM1" s="293"/>
      <c r="YN1" s="293"/>
      <c r="YO1" s="293"/>
      <c r="YP1" s="293"/>
      <c r="YQ1" s="293"/>
      <c r="YR1" s="293"/>
      <c r="YS1" s="293"/>
      <c r="YT1" s="293"/>
      <c r="YU1" s="293"/>
      <c r="YV1" s="293"/>
      <c r="YW1" s="293"/>
      <c r="YX1" s="293"/>
      <c r="YY1" s="293"/>
      <c r="YZ1" s="293"/>
      <c r="ZA1" s="293"/>
      <c r="ZB1" s="293"/>
      <c r="ZC1" s="293"/>
      <c r="ZD1" s="293"/>
      <c r="ZE1" s="293"/>
      <c r="ZF1" s="293"/>
      <c r="ZG1" s="293"/>
      <c r="ZH1" s="293"/>
      <c r="ZI1" s="293"/>
      <c r="ZJ1" s="293"/>
      <c r="ZK1" s="293"/>
      <c r="ZL1" s="293"/>
      <c r="ZM1" s="293"/>
      <c r="ZN1" s="293"/>
      <c r="ZO1" s="293"/>
      <c r="ZP1" s="293"/>
      <c r="ZQ1" s="293"/>
      <c r="ZR1" s="293"/>
      <c r="ZS1" s="293"/>
      <c r="ZT1" s="293"/>
      <c r="ZU1" s="293"/>
      <c r="ZV1" s="293"/>
      <c r="ZW1" s="293"/>
      <c r="ZX1" s="293"/>
      <c r="ZY1" s="293"/>
      <c r="ZZ1" s="293"/>
      <c r="AAA1" s="293"/>
      <c r="AAB1" s="293"/>
      <c r="AAC1" s="293"/>
      <c r="AAD1" s="293"/>
      <c r="AAE1" s="293"/>
      <c r="AAF1" s="293"/>
      <c r="AAG1" s="293"/>
      <c r="AAH1" s="293"/>
      <c r="AAI1" s="293"/>
      <c r="AAJ1" s="293"/>
      <c r="AAK1" s="293"/>
      <c r="AAL1" s="293"/>
      <c r="AAM1" s="293"/>
      <c r="AAN1" s="293"/>
      <c r="AAO1" s="293"/>
      <c r="AAP1" s="293"/>
      <c r="AAQ1" s="293"/>
      <c r="AAR1" s="293"/>
      <c r="AAS1" s="293"/>
      <c r="AAT1" s="293"/>
      <c r="AAU1" s="293"/>
      <c r="AAV1" s="293"/>
      <c r="AAW1" s="293"/>
      <c r="AAX1" s="293"/>
      <c r="AAY1" s="293"/>
      <c r="AAZ1" s="293"/>
      <c r="ABA1" s="293"/>
      <c r="ABB1" s="293"/>
      <c r="ABC1" s="293"/>
      <c r="ABD1" s="293"/>
      <c r="ABE1" s="293"/>
      <c r="ABF1" s="293"/>
      <c r="ABG1" s="293"/>
      <c r="ABH1" s="293"/>
      <c r="ABI1" s="293"/>
      <c r="ABJ1" s="293"/>
      <c r="ABK1" s="293"/>
      <c r="ABL1" s="293"/>
      <c r="ABM1" s="293"/>
      <c r="ABN1" s="293"/>
      <c r="ABO1" s="293"/>
      <c r="ABP1" s="293"/>
      <c r="ABQ1" s="293"/>
      <c r="ABR1" s="293"/>
      <c r="ABS1" s="293"/>
      <c r="ABT1" s="293"/>
      <c r="ABU1" s="293"/>
      <c r="ABV1" s="293"/>
      <c r="ABW1" s="293"/>
      <c r="ABX1" s="293"/>
      <c r="ABY1" s="293"/>
      <c r="ABZ1" s="293"/>
      <c r="ACA1" s="293"/>
      <c r="ACB1" s="293"/>
      <c r="ACC1" s="293"/>
      <c r="ACD1" s="293"/>
      <c r="ACE1" s="293"/>
      <c r="ACF1" s="293"/>
      <c r="ACG1" s="293"/>
      <c r="ACH1" s="293"/>
      <c r="ACI1" s="293"/>
      <c r="ACJ1" s="293"/>
      <c r="ACK1" s="293"/>
      <c r="ACL1" s="293"/>
      <c r="ACM1" s="293"/>
      <c r="ACN1" s="293"/>
      <c r="ACO1" s="293"/>
      <c r="ACP1" s="293"/>
      <c r="ACQ1" s="293"/>
      <c r="ACR1" s="293"/>
      <c r="ACS1" s="293"/>
      <c r="ACT1" s="293"/>
      <c r="ACU1" s="293"/>
      <c r="ACV1" s="293"/>
      <c r="ACW1" s="293"/>
      <c r="ACX1" s="293"/>
      <c r="ACY1" s="293"/>
      <c r="ACZ1" s="293"/>
      <c r="ADA1" s="293"/>
      <c r="ADB1" s="293"/>
      <c r="ADC1" s="293"/>
      <c r="ADD1" s="293"/>
      <c r="ADE1" s="293"/>
      <c r="ADF1" s="293"/>
      <c r="ADG1" s="293"/>
      <c r="ADH1" s="293"/>
      <c r="ADI1" s="293"/>
      <c r="ADJ1" s="293"/>
      <c r="ADK1" s="293"/>
      <c r="ADL1" s="293"/>
      <c r="ADM1" s="293"/>
      <c r="ADN1" s="293"/>
      <c r="ADO1" s="293"/>
      <c r="ADP1" s="293"/>
      <c r="ADQ1" s="293"/>
      <c r="ADR1" s="293"/>
      <c r="ADS1" s="293"/>
      <c r="ADT1" s="293"/>
      <c r="ADU1" s="293"/>
      <c r="ADV1" s="293"/>
      <c r="ADW1" s="293"/>
      <c r="ADX1" s="293"/>
      <c r="ADY1" s="293"/>
      <c r="ADZ1" s="293"/>
      <c r="AEA1" s="293"/>
      <c r="AEB1" s="293"/>
      <c r="AEC1" s="293"/>
      <c r="AED1" s="293"/>
      <c r="AEE1" s="293"/>
      <c r="AEF1" s="293"/>
      <c r="AEG1" s="293"/>
      <c r="AEH1" s="293"/>
      <c r="AEI1" s="293"/>
      <c r="AEJ1" s="293"/>
      <c r="AEK1" s="293"/>
      <c r="AEL1" s="293"/>
      <c r="AEM1" s="293"/>
      <c r="AEN1" s="293"/>
      <c r="AEO1" s="293"/>
      <c r="AEP1" s="293"/>
      <c r="AEQ1" s="293"/>
      <c r="AER1" s="293"/>
      <c r="AES1" s="293"/>
      <c r="AET1" s="293"/>
      <c r="AEU1" s="293"/>
      <c r="AEV1" s="293"/>
      <c r="AEW1" s="293"/>
      <c r="AEX1" s="293"/>
      <c r="AEY1" s="293"/>
      <c r="AEZ1" s="293"/>
      <c r="AFA1" s="293"/>
      <c r="AFB1" s="293"/>
      <c r="AFC1" s="293"/>
      <c r="AFD1" s="293"/>
      <c r="AFE1" s="293"/>
      <c r="AFF1" s="293"/>
      <c r="AFG1" s="293"/>
      <c r="AFH1" s="293"/>
      <c r="AFI1" s="293"/>
      <c r="AFJ1" s="293"/>
      <c r="AFK1" s="293"/>
      <c r="AFL1" s="293"/>
      <c r="AFM1" s="293"/>
      <c r="AFN1" s="293"/>
      <c r="AFO1" s="293"/>
      <c r="AFP1" s="293"/>
      <c r="AFQ1" s="293"/>
      <c r="AFR1" s="293"/>
      <c r="AFS1" s="293"/>
      <c r="AFT1" s="293"/>
      <c r="AFU1" s="293"/>
      <c r="AFV1" s="293"/>
      <c r="AFW1" s="293"/>
      <c r="AFX1" s="293"/>
      <c r="AFY1" s="293"/>
      <c r="AFZ1" s="293"/>
      <c r="AGA1" s="293"/>
      <c r="AGB1" s="293"/>
      <c r="AGC1" s="293"/>
      <c r="AGD1" s="293"/>
      <c r="AGE1" s="293"/>
      <c r="AGF1" s="293"/>
      <c r="AGG1" s="293"/>
      <c r="AGH1" s="293"/>
      <c r="AGI1" s="293"/>
      <c r="AGJ1" s="293"/>
      <c r="AGK1" s="293"/>
      <c r="AGL1" s="293"/>
      <c r="AGM1" s="293"/>
      <c r="AGN1" s="293"/>
      <c r="AGO1" s="293"/>
      <c r="AGP1" s="293"/>
      <c r="AGQ1" s="293"/>
      <c r="AGR1" s="293"/>
      <c r="AGS1" s="293"/>
      <c r="AGT1" s="293"/>
      <c r="AGU1" s="293"/>
      <c r="AGV1" s="293"/>
      <c r="AGW1" s="293"/>
      <c r="AGX1" s="293"/>
      <c r="AGY1" s="293"/>
      <c r="AGZ1" s="293"/>
      <c r="AHA1" s="293"/>
      <c r="AHB1" s="293"/>
      <c r="AHC1" s="293"/>
      <c r="AHD1" s="293"/>
      <c r="AHE1" s="293"/>
      <c r="AHF1" s="293"/>
      <c r="AHG1" s="293"/>
      <c r="AHH1" s="293"/>
      <c r="AHI1" s="293"/>
      <c r="AHJ1" s="293"/>
      <c r="AHK1" s="293"/>
      <c r="AHL1" s="293"/>
      <c r="AHM1" s="293"/>
      <c r="AHN1" s="293"/>
      <c r="AHO1" s="293"/>
      <c r="AHP1" s="293"/>
      <c r="AHQ1" s="293"/>
      <c r="AHR1" s="293"/>
      <c r="AHS1" s="293"/>
      <c r="AHT1" s="293"/>
      <c r="AHU1" s="293"/>
      <c r="AHV1" s="293"/>
      <c r="AHW1" s="293"/>
      <c r="AHX1" s="293"/>
      <c r="AHY1" s="293"/>
      <c r="AHZ1" s="293"/>
      <c r="AIA1" s="293"/>
      <c r="AIB1" s="293"/>
      <c r="AIC1" s="293"/>
      <c r="AID1" s="293"/>
      <c r="AIE1" s="293"/>
      <c r="AIF1" s="293"/>
      <c r="AIG1" s="293"/>
      <c r="AIH1" s="293"/>
      <c r="AII1" s="293"/>
      <c r="AIJ1" s="293"/>
      <c r="AIK1" s="293"/>
      <c r="AIL1" s="293"/>
      <c r="AIM1" s="293"/>
      <c r="AIN1" s="293"/>
      <c r="AIO1" s="293"/>
      <c r="AIP1" s="293"/>
      <c r="AIQ1" s="293"/>
      <c r="AIR1" s="293"/>
      <c r="AIS1" s="293"/>
      <c r="AIT1" s="293"/>
      <c r="AIU1" s="293"/>
      <c r="AIV1" s="293"/>
      <c r="AIW1" s="293"/>
      <c r="AIX1" s="293"/>
      <c r="AIY1" s="293"/>
      <c r="AIZ1" s="293"/>
      <c r="AJA1" s="293"/>
      <c r="AJB1" s="293"/>
      <c r="AJC1" s="293"/>
      <c r="AJD1" s="293"/>
      <c r="AJE1" s="293"/>
      <c r="AJF1" s="293"/>
      <c r="AJG1" s="293"/>
      <c r="AJH1" s="293"/>
      <c r="AJI1" s="293"/>
      <c r="AJJ1" s="293"/>
      <c r="AJK1" s="293"/>
      <c r="AJL1" s="293"/>
      <c r="AJM1" s="293"/>
      <c r="AJN1" s="293"/>
      <c r="AJO1" s="293"/>
      <c r="AJP1" s="293"/>
      <c r="AJQ1" s="293"/>
      <c r="AJR1" s="293"/>
      <c r="AJS1" s="293"/>
      <c r="AJT1" s="293"/>
      <c r="AJU1" s="293"/>
      <c r="AJV1" s="293"/>
      <c r="AJW1" s="293"/>
      <c r="AJX1" s="293"/>
      <c r="AJY1" s="293"/>
      <c r="AJZ1" s="293"/>
      <c r="AKA1" s="293"/>
      <c r="AKB1" s="293"/>
      <c r="AKC1" s="293"/>
      <c r="AKD1" s="293"/>
      <c r="AKE1" s="293"/>
      <c r="AKF1" s="293"/>
      <c r="AKG1" s="293"/>
      <c r="AKH1" s="293"/>
      <c r="AKI1" s="293"/>
      <c r="AKJ1" s="293"/>
      <c r="AKK1" s="293"/>
      <c r="AKL1" s="293"/>
      <c r="AKM1" s="293"/>
      <c r="AKN1" s="293"/>
      <c r="AKO1" s="293"/>
      <c r="AKP1" s="293"/>
      <c r="AKQ1" s="293"/>
      <c r="AKR1" s="293"/>
      <c r="AKS1" s="293"/>
      <c r="AKT1" s="293"/>
      <c r="AKU1" s="293"/>
      <c r="AKV1" s="293"/>
      <c r="AKW1" s="293"/>
      <c r="AKX1" s="293"/>
      <c r="AKY1" s="293"/>
      <c r="AKZ1" s="293"/>
      <c r="ALA1" s="293"/>
      <c r="ALB1" s="293"/>
      <c r="ALC1" s="293"/>
      <c r="ALD1" s="293"/>
      <c r="ALE1" s="293"/>
      <c r="ALF1" s="293"/>
      <c r="ALG1" s="293"/>
      <c r="ALH1" s="293"/>
      <c r="ALI1" s="293"/>
      <c r="ALJ1" s="293"/>
      <c r="ALK1" s="293"/>
      <c r="ALL1" s="293"/>
      <c r="ALM1" s="293"/>
      <c r="ALN1" s="293"/>
      <c r="ALO1" s="293"/>
      <c r="ALP1" s="293"/>
      <c r="ALQ1" s="293"/>
      <c r="ALR1" s="293"/>
      <c r="ALS1" s="293"/>
      <c r="ALT1" s="293"/>
      <c r="ALU1" s="293"/>
      <c r="ALV1" s="293"/>
      <c r="ALW1" s="293"/>
      <c r="ALX1" s="293"/>
      <c r="ALY1" s="293"/>
      <c r="ALZ1" s="293"/>
      <c r="AMA1" s="293"/>
      <c r="AMB1" s="293"/>
      <c r="AMC1" s="293"/>
      <c r="AMD1" s="293"/>
      <c r="AME1" s="293"/>
      <c r="AMF1" s="293"/>
      <c r="AMG1" s="293"/>
      <c r="AMH1" s="293"/>
      <c r="AMI1" s="293"/>
      <c r="AMJ1" s="293"/>
      <c r="AMK1" s="293"/>
      <c r="AML1" s="293"/>
      <c r="AMM1" s="293"/>
      <c r="AMN1" s="293"/>
      <c r="AMO1" s="293"/>
      <c r="AMP1" s="293"/>
      <c r="AMQ1" s="293"/>
      <c r="AMR1" s="293"/>
      <c r="AMS1" s="293"/>
      <c r="AMT1" s="293"/>
      <c r="AMU1" s="293"/>
      <c r="AMV1" s="293"/>
      <c r="AMW1" s="293"/>
      <c r="AMX1" s="293"/>
      <c r="AMY1" s="293"/>
      <c r="AMZ1" s="293"/>
      <c r="ANA1" s="293"/>
      <c r="ANB1" s="293"/>
      <c r="ANC1" s="293"/>
      <c r="AND1" s="293"/>
      <c r="ANE1" s="293"/>
      <c r="ANF1" s="293"/>
      <c r="ANG1" s="293"/>
      <c r="ANH1" s="293"/>
      <c r="ANI1" s="293"/>
      <c r="ANJ1" s="293"/>
      <c r="ANK1" s="293"/>
      <c r="ANL1" s="293"/>
      <c r="ANM1" s="293"/>
      <c r="ANN1" s="293"/>
      <c r="ANO1" s="293"/>
      <c r="ANP1" s="293"/>
      <c r="ANQ1" s="293"/>
      <c r="ANR1" s="293"/>
      <c r="ANS1" s="293"/>
      <c r="ANT1" s="293"/>
      <c r="ANU1" s="293"/>
      <c r="ANV1" s="293"/>
      <c r="ANW1" s="293"/>
      <c r="ANX1" s="293"/>
      <c r="ANY1" s="293"/>
      <c r="ANZ1" s="293"/>
      <c r="AOA1" s="293"/>
      <c r="AOB1" s="293"/>
      <c r="AOC1" s="293"/>
      <c r="AOD1" s="293"/>
      <c r="AOE1" s="293"/>
      <c r="AOF1" s="293"/>
      <c r="AOG1" s="293"/>
      <c r="AOH1" s="293"/>
      <c r="AOI1" s="293"/>
      <c r="AOJ1" s="293"/>
      <c r="AOK1" s="293"/>
      <c r="AOL1" s="293"/>
      <c r="AOM1" s="293"/>
      <c r="AON1" s="293"/>
      <c r="AOO1" s="293"/>
      <c r="AOP1" s="293"/>
      <c r="AOQ1" s="293"/>
      <c r="AOR1" s="293"/>
      <c r="AOS1" s="293"/>
      <c r="AOT1" s="293"/>
      <c r="AOU1" s="293"/>
      <c r="AOV1" s="293"/>
      <c r="AOW1" s="293"/>
      <c r="AOX1" s="293"/>
      <c r="AOY1" s="293"/>
      <c r="AOZ1" s="293"/>
      <c r="APA1" s="293"/>
      <c r="APB1" s="293"/>
      <c r="APC1" s="293"/>
      <c r="APD1" s="293"/>
      <c r="APE1" s="293"/>
      <c r="APF1" s="293"/>
      <c r="APG1" s="293"/>
      <c r="APH1" s="293"/>
      <c r="API1" s="293"/>
      <c r="APJ1" s="293"/>
      <c r="APK1" s="293"/>
      <c r="APL1" s="293"/>
      <c r="APM1" s="293"/>
      <c r="APN1" s="293"/>
      <c r="APO1" s="293"/>
      <c r="APP1" s="293"/>
      <c r="APQ1" s="293"/>
      <c r="APR1" s="293"/>
      <c r="APS1" s="293"/>
      <c r="APT1" s="293"/>
      <c r="APU1" s="293"/>
      <c r="APV1" s="293"/>
      <c r="APW1" s="293"/>
      <c r="APX1" s="293"/>
      <c r="APY1" s="293"/>
      <c r="APZ1" s="293"/>
      <c r="AQA1" s="293"/>
      <c r="AQB1" s="293"/>
      <c r="AQC1" s="293"/>
      <c r="AQD1" s="293"/>
      <c r="AQE1" s="293"/>
      <c r="AQF1" s="293"/>
      <c r="AQG1" s="293"/>
      <c r="AQH1" s="293"/>
      <c r="AQI1" s="293"/>
      <c r="AQJ1" s="293"/>
      <c r="AQK1" s="293"/>
      <c r="AQL1" s="293"/>
      <c r="AQM1" s="293"/>
      <c r="AQN1" s="293"/>
      <c r="AQO1" s="293"/>
      <c r="AQP1" s="293"/>
      <c r="AQQ1" s="293"/>
      <c r="AQR1" s="293"/>
      <c r="AQS1" s="293"/>
      <c r="AQT1" s="293"/>
      <c r="AQU1" s="293"/>
      <c r="AQV1" s="293"/>
      <c r="AQW1" s="293"/>
      <c r="AQX1" s="293"/>
      <c r="AQY1" s="293"/>
      <c r="AQZ1" s="293"/>
      <c r="ARA1" s="293"/>
      <c r="ARB1" s="293"/>
      <c r="ARC1" s="293"/>
      <c r="ARD1" s="293"/>
      <c r="ARE1" s="293"/>
      <c r="ARF1" s="293"/>
      <c r="ARG1" s="293"/>
      <c r="ARH1" s="293"/>
      <c r="ARI1" s="293"/>
      <c r="ARJ1" s="293"/>
      <c r="ARK1" s="293"/>
      <c r="ARL1" s="293"/>
      <c r="ARM1" s="293"/>
      <c r="ARN1" s="293"/>
      <c r="ARO1" s="293"/>
      <c r="ARP1" s="293"/>
      <c r="ARQ1" s="293"/>
      <c r="ARR1" s="293"/>
      <c r="ARS1" s="293"/>
      <c r="ART1" s="293"/>
      <c r="ARU1" s="293"/>
      <c r="ARV1" s="293"/>
      <c r="ARW1" s="293"/>
      <c r="ARX1" s="293"/>
      <c r="ARY1" s="293"/>
      <c r="ARZ1" s="293"/>
      <c r="ASA1" s="293"/>
      <c r="ASB1" s="293"/>
      <c r="ASC1" s="293"/>
      <c r="ASD1" s="293"/>
      <c r="ASE1" s="293"/>
      <c r="ASF1" s="293"/>
      <c r="ASG1" s="293"/>
      <c r="ASH1" s="293"/>
      <c r="ASI1" s="293"/>
      <c r="ASJ1" s="293"/>
      <c r="ASK1" s="293"/>
      <c r="ASL1" s="293"/>
      <c r="ASM1" s="293"/>
      <c r="ASN1" s="293"/>
      <c r="ASO1" s="293"/>
      <c r="ASP1" s="293"/>
      <c r="ASQ1" s="293"/>
      <c r="ASR1" s="293"/>
      <c r="ASS1" s="293"/>
      <c r="AST1" s="293"/>
      <c r="ASU1" s="293"/>
      <c r="ASV1" s="293"/>
      <c r="ASW1" s="293"/>
      <c r="ASX1" s="293"/>
      <c r="ASY1" s="293"/>
      <c r="ASZ1" s="293"/>
      <c r="ATA1" s="293"/>
      <c r="ATB1" s="293"/>
      <c r="ATC1" s="293"/>
      <c r="ATD1" s="293"/>
      <c r="ATE1" s="293"/>
      <c r="ATF1" s="293"/>
      <c r="ATG1" s="293"/>
      <c r="ATH1" s="293"/>
      <c r="ATI1" s="293"/>
      <c r="ATJ1" s="293"/>
      <c r="ATK1" s="293"/>
      <c r="ATL1" s="293"/>
      <c r="ATM1" s="293"/>
      <c r="ATN1" s="293"/>
      <c r="ATO1" s="293"/>
      <c r="ATP1" s="293"/>
      <c r="ATQ1" s="293"/>
      <c r="ATR1" s="293"/>
      <c r="ATS1" s="293"/>
      <c r="ATT1" s="293"/>
      <c r="ATU1" s="293"/>
      <c r="ATV1" s="293"/>
      <c r="ATW1" s="293"/>
      <c r="ATX1" s="293"/>
      <c r="ATY1" s="293"/>
      <c r="ATZ1" s="293"/>
      <c r="AUA1" s="293"/>
      <c r="AUB1" s="293"/>
      <c r="AUC1" s="293"/>
      <c r="AUD1" s="293"/>
      <c r="AUE1" s="293"/>
      <c r="AUF1" s="293"/>
      <c r="AUG1" s="293"/>
      <c r="AUH1" s="293"/>
      <c r="AUI1" s="293"/>
      <c r="AUJ1" s="293"/>
      <c r="AUK1" s="293"/>
      <c r="AUL1" s="293"/>
      <c r="AUM1" s="293"/>
      <c r="AUN1" s="293"/>
      <c r="AUO1" s="293"/>
      <c r="AUP1" s="293"/>
      <c r="AUQ1" s="293"/>
      <c r="AUR1" s="293"/>
      <c r="AUS1" s="293"/>
      <c r="AUT1" s="293"/>
      <c r="AUU1" s="293"/>
      <c r="AUV1" s="293"/>
      <c r="AUW1" s="293"/>
      <c r="AUX1" s="293"/>
      <c r="AUY1" s="293"/>
      <c r="AUZ1" s="293"/>
      <c r="AVA1" s="293"/>
      <c r="AVB1" s="293"/>
      <c r="AVC1" s="293"/>
      <c r="AVD1" s="293"/>
      <c r="AVE1" s="293"/>
      <c r="AVF1" s="293"/>
      <c r="AVG1" s="293"/>
      <c r="AVH1" s="293"/>
      <c r="AVI1" s="293"/>
      <c r="AVJ1" s="293"/>
      <c r="AVK1" s="293"/>
      <c r="AVL1" s="293"/>
      <c r="AVM1" s="293"/>
      <c r="AVN1" s="293"/>
      <c r="AVO1" s="293"/>
      <c r="AVP1" s="293"/>
      <c r="AVQ1" s="293"/>
      <c r="AVR1" s="293"/>
      <c r="AVS1" s="293"/>
      <c r="AVT1" s="293"/>
      <c r="AVU1" s="293"/>
      <c r="AVV1" s="293"/>
      <c r="AVW1" s="293"/>
      <c r="AVX1" s="293"/>
      <c r="AVY1" s="293"/>
      <c r="AVZ1" s="293"/>
      <c r="AWA1" s="293"/>
      <c r="AWB1" s="293"/>
      <c r="AWC1" s="293"/>
      <c r="AWD1" s="293"/>
      <c r="AWE1" s="293"/>
      <c r="AWF1" s="293"/>
      <c r="AWG1" s="293"/>
      <c r="AWH1" s="293"/>
      <c r="AWI1" s="293"/>
      <c r="AWJ1" s="293"/>
      <c r="AWK1" s="293"/>
      <c r="AWL1" s="293"/>
      <c r="AWM1" s="293"/>
      <c r="AWN1" s="293"/>
      <c r="AWO1" s="293"/>
      <c r="AWP1" s="293"/>
      <c r="AWQ1" s="293"/>
      <c r="AWR1" s="293"/>
      <c r="AWS1" s="293"/>
      <c r="AWT1" s="293"/>
      <c r="AWU1" s="293"/>
      <c r="AWV1" s="293"/>
      <c r="AWW1" s="293"/>
      <c r="AWX1" s="293"/>
      <c r="AWY1" s="293"/>
      <c r="AWZ1" s="293"/>
      <c r="AXA1" s="293"/>
      <c r="AXB1" s="293"/>
      <c r="AXC1" s="293"/>
      <c r="AXD1" s="293"/>
      <c r="AXE1" s="293"/>
      <c r="AXF1" s="293"/>
      <c r="AXG1" s="293"/>
      <c r="AXH1" s="293"/>
      <c r="AXI1" s="293"/>
      <c r="AXJ1" s="293"/>
      <c r="AXK1" s="293"/>
      <c r="AXL1" s="293"/>
      <c r="AXM1" s="293"/>
      <c r="AXN1" s="293"/>
      <c r="AXO1" s="293"/>
      <c r="AXP1" s="293"/>
      <c r="AXQ1" s="293"/>
      <c r="AXR1" s="293"/>
      <c r="AXS1" s="293"/>
      <c r="AXT1" s="293"/>
      <c r="AXU1" s="293"/>
      <c r="AXV1" s="293"/>
      <c r="AXW1" s="293"/>
      <c r="AXX1" s="293"/>
      <c r="AXY1" s="293"/>
      <c r="AXZ1" s="293"/>
      <c r="AYA1" s="293"/>
      <c r="AYB1" s="293"/>
      <c r="AYC1" s="293"/>
      <c r="AYD1" s="293"/>
      <c r="AYE1" s="293"/>
      <c r="AYF1" s="293"/>
      <c r="AYG1" s="293"/>
      <c r="AYH1" s="293"/>
      <c r="AYI1" s="293"/>
      <c r="AYJ1" s="293"/>
      <c r="AYK1" s="293"/>
      <c r="AYL1" s="293"/>
      <c r="AYM1" s="293"/>
      <c r="AYN1" s="293"/>
      <c r="AYO1" s="293"/>
      <c r="AYP1" s="293"/>
      <c r="AYQ1" s="293"/>
      <c r="AYR1" s="293"/>
      <c r="AYS1" s="293"/>
      <c r="AYT1" s="293"/>
      <c r="AYU1" s="293"/>
      <c r="AYV1" s="293"/>
      <c r="AYW1" s="293"/>
      <c r="AYX1" s="293"/>
      <c r="AYY1" s="293"/>
      <c r="AYZ1" s="293"/>
      <c r="AZA1" s="293"/>
      <c r="AZB1" s="293"/>
      <c r="AZC1" s="293"/>
      <c r="AZD1" s="293"/>
      <c r="AZE1" s="293"/>
      <c r="AZF1" s="293"/>
      <c r="AZG1" s="293"/>
      <c r="AZH1" s="293"/>
      <c r="AZI1" s="293"/>
      <c r="AZJ1" s="293"/>
      <c r="AZK1" s="293"/>
      <c r="AZL1" s="293"/>
      <c r="AZM1" s="293"/>
      <c r="AZN1" s="293"/>
      <c r="AZO1" s="293"/>
      <c r="AZP1" s="293"/>
      <c r="AZQ1" s="293"/>
      <c r="AZR1" s="293"/>
      <c r="AZS1" s="293"/>
      <c r="AZT1" s="293"/>
      <c r="AZU1" s="293"/>
      <c r="AZV1" s="293"/>
      <c r="AZW1" s="293"/>
      <c r="AZX1" s="293"/>
      <c r="AZY1" s="293"/>
      <c r="AZZ1" s="293"/>
      <c r="BAA1" s="293"/>
      <c r="BAB1" s="293"/>
      <c r="BAC1" s="293"/>
      <c r="BAD1" s="293"/>
      <c r="BAE1" s="293"/>
      <c r="BAF1" s="293"/>
      <c r="BAG1" s="293"/>
      <c r="BAH1" s="293"/>
      <c r="BAI1" s="293"/>
      <c r="BAJ1" s="293"/>
      <c r="BAK1" s="293"/>
      <c r="BAL1" s="293"/>
      <c r="BAM1" s="293"/>
      <c r="BAN1" s="293"/>
      <c r="BAO1" s="293"/>
      <c r="BAP1" s="293"/>
      <c r="BAQ1" s="293"/>
      <c r="BAR1" s="293"/>
      <c r="BAS1" s="293"/>
      <c r="BAT1" s="293"/>
      <c r="BAU1" s="293"/>
      <c r="BAV1" s="293"/>
      <c r="BAW1" s="293"/>
      <c r="BAX1" s="293"/>
      <c r="BAY1" s="293"/>
      <c r="BAZ1" s="293"/>
      <c r="BBA1" s="293"/>
      <c r="BBB1" s="293"/>
      <c r="BBC1" s="293"/>
      <c r="BBD1" s="293"/>
      <c r="BBE1" s="293"/>
      <c r="BBF1" s="293"/>
      <c r="BBG1" s="293"/>
      <c r="BBH1" s="293"/>
      <c r="BBI1" s="293"/>
      <c r="BBJ1" s="293"/>
      <c r="BBK1" s="293"/>
      <c r="BBL1" s="293"/>
      <c r="BBM1" s="293"/>
      <c r="BBN1" s="293"/>
      <c r="BBO1" s="293"/>
      <c r="BBP1" s="293"/>
      <c r="BBQ1" s="293"/>
      <c r="BBR1" s="293"/>
      <c r="BBS1" s="293"/>
      <c r="BBT1" s="293"/>
      <c r="BBU1" s="293"/>
      <c r="BBV1" s="293"/>
      <c r="BBW1" s="293"/>
      <c r="BBX1" s="293"/>
      <c r="BBY1" s="293"/>
      <c r="BBZ1" s="293"/>
      <c r="BCA1" s="293"/>
      <c r="BCB1" s="293"/>
      <c r="BCC1" s="293"/>
      <c r="BCD1" s="293"/>
      <c r="BCE1" s="293"/>
      <c r="BCF1" s="293"/>
      <c r="BCG1" s="293"/>
      <c r="BCH1" s="293"/>
      <c r="BCI1" s="293"/>
      <c r="BCJ1" s="293"/>
      <c r="BCK1" s="293"/>
      <c r="BCL1" s="293"/>
      <c r="BCM1" s="293"/>
      <c r="BCN1" s="293"/>
      <c r="BCO1" s="293"/>
      <c r="BCP1" s="293"/>
      <c r="BCQ1" s="293"/>
      <c r="BCR1" s="293"/>
      <c r="BCS1" s="293"/>
      <c r="BCT1" s="293"/>
      <c r="BCU1" s="293"/>
      <c r="BCV1" s="293"/>
      <c r="BCW1" s="293"/>
      <c r="BCX1" s="293"/>
      <c r="BCY1" s="293"/>
      <c r="BCZ1" s="293"/>
      <c r="BDA1" s="293"/>
      <c r="BDB1" s="293"/>
      <c r="BDC1" s="293"/>
      <c r="BDD1" s="293"/>
      <c r="BDE1" s="293"/>
      <c r="BDF1" s="293"/>
      <c r="BDG1" s="293"/>
      <c r="BDH1" s="293"/>
      <c r="BDI1" s="293"/>
      <c r="BDJ1" s="293"/>
      <c r="BDK1" s="293"/>
      <c r="BDL1" s="293"/>
      <c r="BDM1" s="293"/>
      <c r="BDN1" s="293"/>
      <c r="BDO1" s="293"/>
      <c r="BDP1" s="293"/>
      <c r="BDQ1" s="293"/>
      <c r="BDR1" s="293"/>
      <c r="BDS1" s="293"/>
      <c r="BDT1" s="293"/>
      <c r="BDU1" s="293"/>
      <c r="BDV1" s="293"/>
      <c r="BDW1" s="293"/>
      <c r="BDX1" s="293"/>
      <c r="BDY1" s="293"/>
      <c r="BDZ1" s="293"/>
      <c r="BEA1" s="293"/>
      <c r="BEB1" s="293"/>
      <c r="BEC1" s="293"/>
      <c r="BED1" s="293"/>
      <c r="BEE1" s="293"/>
      <c r="BEF1" s="293"/>
      <c r="BEG1" s="293"/>
      <c r="BEH1" s="293"/>
      <c r="BEI1" s="293"/>
      <c r="BEJ1" s="293"/>
      <c r="BEK1" s="293"/>
      <c r="BEL1" s="293"/>
      <c r="BEM1" s="293"/>
      <c r="BEN1" s="293"/>
      <c r="BEO1" s="293"/>
      <c r="BEP1" s="293"/>
      <c r="BEQ1" s="293"/>
      <c r="BER1" s="293"/>
      <c r="BES1" s="293"/>
      <c r="BET1" s="293"/>
      <c r="BEU1" s="293"/>
      <c r="BEV1" s="293"/>
      <c r="BEW1" s="293"/>
      <c r="BEX1" s="293"/>
      <c r="BEY1" s="293"/>
      <c r="BEZ1" s="293"/>
      <c r="BFA1" s="293"/>
      <c r="BFB1" s="293"/>
      <c r="BFC1" s="293"/>
      <c r="BFD1" s="293"/>
      <c r="BFE1" s="293"/>
      <c r="BFF1" s="293"/>
      <c r="BFG1" s="293"/>
      <c r="BFH1" s="293"/>
      <c r="BFI1" s="293"/>
      <c r="BFJ1" s="293"/>
      <c r="BFK1" s="293"/>
      <c r="BFL1" s="293"/>
      <c r="BFM1" s="293"/>
      <c r="BFN1" s="293"/>
      <c r="BFO1" s="293"/>
      <c r="BFP1" s="293"/>
      <c r="BFQ1" s="293"/>
      <c r="BFR1" s="293"/>
      <c r="BFS1" s="293"/>
      <c r="BFT1" s="293"/>
      <c r="BFU1" s="293"/>
      <c r="BFV1" s="293"/>
      <c r="BFW1" s="293"/>
      <c r="BFX1" s="293"/>
      <c r="BFY1" s="293"/>
      <c r="BFZ1" s="293"/>
      <c r="BGA1" s="293"/>
      <c r="BGB1" s="293"/>
      <c r="BGC1" s="293"/>
      <c r="BGD1" s="293"/>
      <c r="BGE1" s="293"/>
      <c r="BGF1" s="293"/>
      <c r="BGG1" s="293"/>
      <c r="BGH1" s="293"/>
      <c r="BGI1" s="293"/>
      <c r="BGJ1" s="293"/>
      <c r="BGK1" s="293"/>
      <c r="BGL1" s="293"/>
      <c r="BGM1" s="293"/>
      <c r="BGN1" s="293"/>
      <c r="BGO1" s="293"/>
      <c r="BGP1" s="293"/>
      <c r="BGQ1" s="293"/>
      <c r="BGR1" s="293"/>
      <c r="BGS1" s="293"/>
      <c r="BGT1" s="293"/>
      <c r="BGU1" s="293"/>
      <c r="BGV1" s="293"/>
      <c r="BGW1" s="293"/>
      <c r="BGX1" s="293"/>
      <c r="BGY1" s="293"/>
      <c r="BGZ1" s="293"/>
      <c r="BHA1" s="293"/>
      <c r="BHB1" s="293"/>
      <c r="BHC1" s="293"/>
      <c r="BHD1" s="293"/>
      <c r="BHE1" s="293"/>
      <c r="BHF1" s="293"/>
      <c r="BHG1" s="293"/>
      <c r="BHH1" s="293"/>
      <c r="BHI1" s="293"/>
      <c r="BHJ1" s="293"/>
      <c r="BHK1" s="293"/>
      <c r="BHL1" s="293"/>
      <c r="BHM1" s="293"/>
      <c r="BHN1" s="293"/>
      <c r="BHO1" s="293"/>
      <c r="BHP1" s="293"/>
      <c r="BHQ1" s="293"/>
      <c r="BHR1" s="293"/>
      <c r="BHS1" s="293"/>
      <c r="BHT1" s="293"/>
      <c r="BHU1" s="293"/>
      <c r="BHV1" s="293"/>
      <c r="BHW1" s="293"/>
      <c r="BHX1" s="293"/>
      <c r="BHY1" s="293"/>
      <c r="BHZ1" s="293"/>
      <c r="BIA1" s="293"/>
      <c r="BIB1" s="293"/>
      <c r="BIC1" s="293"/>
      <c r="BID1" s="293"/>
      <c r="BIE1" s="293"/>
      <c r="BIF1" s="293"/>
      <c r="BIG1" s="293"/>
      <c r="BIH1" s="293"/>
      <c r="BII1" s="293"/>
      <c r="BIJ1" s="293"/>
      <c r="BIK1" s="293"/>
      <c r="BIL1" s="293"/>
      <c r="BIM1" s="293"/>
      <c r="BIN1" s="293"/>
      <c r="BIO1" s="293"/>
      <c r="BIP1" s="293"/>
      <c r="BIQ1" s="293"/>
      <c r="BIR1" s="293"/>
      <c r="BIS1" s="293"/>
      <c r="BIT1" s="293"/>
      <c r="BIU1" s="293"/>
      <c r="BIV1" s="293"/>
      <c r="BIW1" s="293"/>
      <c r="BIX1" s="293"/>
      <c r="BIY1" s="293"/>
      <c r="BIZ1" s="293"/>
      <c r="BJA1" s="293"/>
      <c r="BJB1" s="293"/>
      <c r="BJC1" s="293"/>
      <c r="BJD1" s="293"/>
      <c r="BJE1" s="293"/>
      <c r="BJF1" s="293"/>
      <c r="BJG1" s="293"/>
      <c r="BJH1" s="293"/>
      <c r="BJI1" s="293"/>
      <c r="BJJ1" s="293"/>
      <c r="BJK1" s="293"/>
      <c r="BJL1" s="293"/>
      <c r="BJM1" s="293"/>
      <c r="BJN1" s="293"/>
      <c r="BJO1" s="293"/>
      <c r="BJP1" s="293"/>
      <c r="BJQ1" s="293"/>
      <c r="BJR1" s="293"/>
      <c r="BJS1" s="293"/>
      <c r="BJT1" s="293"/>
      <c r="BJU1" s="293"/>
      <c r="BJV1" s="293"/>
      <c r="BJW1" s="293"/>
      <c r="BJX1" s="293"/>
      <c r="BJY1" s="293"/>
      <c r="BJZ1" s="293"/>
      <c r="BKA1" s="293"/>
      <c r="BKB1" s="293"/>
      <c r="BKC1" s="293"/>
      <c r="BKD1" s="293"/>
      <c r="BKE1" s="293"/>
      <c r="BKF1" s="293"/>
      <c r="BKG1" s="293"/>
      <c r="BKH1" s="293"/>
      <c r="BKI1" s="293"/>
      <c r="BKJ1" s="293"/>
      <c r="BKK1" s="293"/>
      <c r="BKL1" s="293"/>
      <c r="BKM1" s="293"/>
      <c r="BKN1" s="293"/>
      <c r="BKO1" s="293"/>
      <c r="BKP1" s="293"/>
      <c r="BKQ1" s="293"/>
      <c r="BKR1" s="293"/>
      <c r="BKS1" s="293"/>
      <c r="BKT1" s="293"/>
      <c r="BKU1" s="293"/>
      <c r="BKV1" s="293"/>
      <c r="BKW1" s="293"/>
      <c r="BKX1" s="293"/>
      <c r="BKY1" s="293"/>
      <c r="BKZ1" s="293"/>
      <c r="BLA1" s="293"/>
      <c r="BLB1" s="293"/>
      <c r="BLC1" s="293"/>
      <c r="BLD1" s="293"/>
      <c r="BLE1" s="293"/>
      <c r="BLF1" s="293"/>
      <c r="BLG1" s="293"/>
      <c r="BLH1" s="293"/>
      <c r="BLI1" s="293"/>
      <c r="BLJ1" s="293"/>
      <c r="BLK1" s="293"/>
      <c r="BLL1" s="293"/>
      <c r="BLM1" s="293"/>
      <c r="BLN1" s="293"/>
      <c r="BLO1" s="293"/>
      <c r="BLP1" s="293"/>
      <c r="BLQ1" s="293"/>
      <c r="BLR1" s="293"/>
      <c r="BLS1" s="293"/>
      <c r="BLT1" s="293"/>
      <c r="BLU1" s="293"/>
      <c r="BLV1" s="293"/>
      <c r="BLW1" s="293"/>
      <c r="BLX1" s="293"/>
      <c r="BLY1" s="293"/>
      <c r="BLZ1" s="293"/>
      <c r="BMA1" s="293"/>
      <c r="BMB1" s="293"/>
      <c r="BMC1" s="293"/>
      <c r="BMD1" s="293"/>
      <c r="BME1" s="293"/>
      <c r="BMF1" s="293"/>
      <c r="BMG1" s="293"/>
      <c r="BMH1" s="293"/>
      <c r="BMI1" s="293"/>
      <c r="BMJ1" s="293"/>
      <c r="BMK1" s="293"/>
      <c r="BML1" s="293"/>
      <c r="BMM1" s="293"/>
      <c r="BMN1" s="293"/>
      <c r="BMO1" s="293"/>
      <c r="BMP1" s="293"/>
      <c r="BMQ1" s="293"/>
      <c r="BMR1" s="293"/>
      <c r="BMS1" s="293"/>
      <c r="BMT1" s="293"/>
      <c r="BMU1" s="293"/>
      <c r="BMV1" s="293"/>
      <c r="BMW1" s="293"/>
      <c r="BMX1" s="293"/>
      <c r="BMY1" s="293"/>
      <c r="BMZ1" s="293"/>
      <c r="BNA1" s="293"/>
      <c r="BNB1" s="293"/>
      <c r="BNC1" s="293"/>
      <c r="BND1" s="293"/>
      <c r="BNE1" s="293"/>
      <c r="BNF1" s="293"/>
      <c r="BNG1" s="293"/>
      <c r="BNH1" s="293"/>
      <c r="BNI1" s="293"/>
      <c r="BNJ1" s="293"/>
      <c r="BNK1" s="293"/>
      <c r="BNL1" s="293"/>
      <c r="BNM1" s="293"/>
      <c r="BNN1" s="293"/>
      <c r="BNO1" s="293"/>
      <c r="BNP1" s="293"/>
      <c r="BNQ1" s="293"/>
      <c r="BNR1" s="293"/>
      <c r="BNS1" s="293"/>
      <c r="BNT1" s="293"/>
      <c r="BNU1" s="293"/>
      <c r="BNV1" s="293"/>
      <c r="BNW1" s="293"/>
      <c r="BNX1" s="293"/>
      <c r="BNY1" s="293"/>
      <c r="BNZ1" s="293"/>
      <c r="BOA1" s="293"/>
      <c r="BOB1" s="293"/>
      <c r="BOC1" s="293"/>
      <c r="BOD1" s="293"/>
      <c r="BOE1" s="293"/>
      <c r="BOF1" s="293"/>
      <c r="BOG1" s="293"/>
      <c r="BOH1" s="293"/>
      <c r="BOI1" s="293"/>
      <c r="BOJ1" s="293"/>
      <c r="BOK1" s="293"/>
      <c r="BOL1" s="293"/>
      <c r="BOM1" s="293"/>
      <c r="BON1" s="293"/>
      <c r="BOO1" s="293"/>
      <c r="BOP1" s="293"/>
      <c r="BOQ1" s="293"/>
      <c r="BOR1" s="293"/>
      <c r="BOS1" s="293"/>
      <c r="BOT1" s="293"/>
      <c r="BOU1" s="293"/>
      <c r="BOV1" s="293"/>
      <c r="BOW1" s="293"/>
      <c r="BOX1" s="293"/>
      <c r="BOY1" s="293"/>
      <c r="BOZ1" s="293"/>
      <c r="BPA1" s="293"/>
      <c r="BPB1" s="293"/>
      <c r="BPC1" s="293"/>
      <c r="BPD1" s="293"/>
      <c r="BPE1" s="293"/>
      <c r="BPF1" s="293"/>
      <c r="BPG1" s="293"/>
      <c r="BPH1" s="293"/>
      <c r="BPI1" s="293"/>
      <c r="BPJ1" s="293"/>
      <c r="BPK1" s="293"/>
      <c r="BPL1" s="293"/>
      <c r="BPM1" s="293"/>
      <c r="BPN1" s="293"/>
      <c r="BPO1" s="293"/>
      <c r="BPP1" s="293"/>
      <c r="BPQ1" s="293"/>
      <c r="BPR1" s="293"/>
      <c r="BPS1" s="293"/>
      <c r="BPT1" s="293"/>
      <c r="BPU1" s="293"/>
      <c r="BPV1" s="293"/>
      <c r="BPW1" s="293"/>
      <c r="BPX1" s="293"/>
      <c r="BPY1" s="293"/>
      <c r="BPZ1" s="293"/>
      <c r="BQA1" s="293"/>
      <c r="BQB1" s="293"/>
      <c r="BQC1" s="293"/>
      <c r="BQD1" s="293"/>
      <c r="BQE1" s="293"/>
      <c r="BQF1" s="293"/>
      <c r="BQG1" s="293"/>
      <c r="BQH1" s="293"/>
      <c r="BQI1" s="293"/>
      <c r="BQJ1" s="293"/>
      <c r="BQK1" s="293"/>
      <c r="BQL1" s="293"/>
      <c r="BQM1" s="293"/>
      <c r="BQN1" s="293"/>
      <c r="BQO1" s="293"/>
      <c r="BQP1" s="293"/>
      <c r="BQQ1" s="293"/>
      <c r="BQR1" s="293"/>
      <c r="BQS1" s="293"/>
      <c r="BQT1" s="293"/>
      <c r="BQU1" s="293"/>
      <c r="BQV1" s="293"/>
      <c r="BQW1" s="293"/>
      <c r="BQX1" s="293"/>
      <c r="BQY1" s="293"/>
      <c r="BQZ1" s="293"/>
      <c r="BRA1" s="293"/>
      <c r="BRB1" s="293"/>
      <c r="BRC1" s="293"/>
      <c r="BRD1" s="293"/>
      <c r="BRE1" s="293"/>
      <c r="BRF1" s="293"/>
      <c r="BRG1" s="293"/>
      <c r="BRH1" s="293"/>
      <c r="BRI1" s="293"/>
      <c r="BRJ1" s="293"/>
      <c r="BRK1" s="293"/>
      <c r="BRL1" s="293"/>
      <c r="BRM1" s="293"/>
      <c r="BRN1" s="293"/>
      <c r="BRO1" s="293"/>
      <c r="BRP1" s="293"/>
      <c r="BRQ1" s="293"/>
      <c r="BRR1" s="293"/>
      <c r="BRS1" s="293"/>
      <c r="BRT1" s="293"/>
      <c r="BRU1" s="293"/>
      <c r="BRV1" s="293"/>
      <c r="BRW1" s="293"/>
      <c r="BRX1" s="293"/>
      <c r="BRY1" s="293"/>
      <c r="BRZ1" s="293"/>
      <c r="BSA1" s="293"/>
      <c r="BSB1" s="293"/>
      <c r="BSC1" s="293"/>
      <c r="BSD1" s="293"/>
      <c r="BSE1" s="293"/>
      <c r="BSF1" s="293"/>
      <c r="BSG1" s="293"/>
      <c r="BSH1" s="293"/>
      <c r="BSI1" s="293"/>
      <c r="BSJ1" s="293"/>
      <c r="BSK1" s="293"/>
      <c r="BSL1" s="293"/>
      <c r="BSM1" s="293"/>
      <c r="BSN1" s="293"/>
      <c r="BSO1" s="293"/>
      <c r="BSP1" s="293"/>
      <c r="BSQ1" s="293"/>
      <c r="BSR1" s="293"/>
      <c r="BSS1" s="293"/>
      <c r="BST1" s="293"/>
      <c r="BSU1" s="293"/>
      <c r="BSV1" s="293"/>
      <c r="BSW1" s="293"/>
      <c r="BSX1" s="293"/>
      <c r="BSY1" s="293"/>
      <c r="BSZ1" s="293"/>
      <c r="BTA1" s="293"/>
      <c r="BTB1" s="293"/>
      <c r="BTC1" s="293"/>
      <c r="BTD1" s="293"/>
      <c r="BTE1" s="293"/>
      <c r="BTF1" s="293"/>
      <c r="BTG1" s="293"/>
      <c r="BTH1" s="293"/>
      <c r="BTI1" s="293"/>
      <c r="BTJ1" s="293"/>
      <c r="BTK1" s="293"/>
      <c r="BTL1" s="293"/>
      <c r="BTM1" s="293"/>
      <c r="BTN1" s="293"/>
      <c r="BTO1" s="293"/>
      <c r="BTP1" s="293"/>
      <c r="BTQ1" s="293"/>
      <c r="BTR1" s="293"/>
      <c r="BTS1" s="293"/>
      <c r="BTT1" s="293"/>
      <c r="BTU1" s="293"/>
      <c r="BTV1" s="293"/>
      <c r="BTW1" s="293"/>
      <c r="BTX1" s="293"/>
      <c r="BTY1" s="293"/>
      <c r="BTZ1" s="293"/>
      <c r="BUA1" s="293"/>
      <c r="BUB1" s="293"/>
      <c r="BUC1" s="293"/>
      <c r="BUD1" s="293"/>
      <c r="BUE1" s="293"/>
      <c r="BUF1" s="293"/>
      <c r="BUG1" s="293"/>
      <c r="BUH1" s="293"/>
      <c r="BUI1" s="293"/>
      <c r="BUJ1" s="293"/>
      <c r="BUK1" s="293"/>
      <c r="BUL1" s="293"/>
      <c r="BUM1" s="293"/>
      <c r="BUN1" s="293"/>
      <c r="BUO1" s="293"/>
      <c r="BUP1" s="293"/>
      <c r="BUQ1" s="293"/>
      <c r="BUR1" s="293"/>
      <c r="BUS1" s="293"/>
      <c r="BUT1" s="293"/>
      <c r="BUU1" s="293"/>
      <c r="BUV1" s="293"/>
      <c r="BUW1" s="293"/>
      <c r="BUX1" s="293"/>
      <c r="BUY1" s="293"/>
      <c r="BUZ1" s="293"/>
      <c r="BVA1" s="293"/>
      <c r="BVB1" s="293"/>
      <c r="BVC1" s="293"/>
      <c r="BVD1" s="293"/>
      <c r="BVE1" s="293"/>
      <c r="BVF1" s="293"/>
      <c r="BVG1" s="293"/>
      <c r="BVH1" s="293"/>
      <c r="BVI1" s="293"/>
      <c r="BVJ1" s="293"/>
      <c r="BVK1" s="293"/>
      <c r="BVL1" s="293"/>
      <c r="BVM1" s="293"/>
      <c r="BVN1" s="293"/>
      <c r="BVO1" s="293"/>
      <c r="BVP1" s="293"/>
      <c r="BVQ1" s="293"/>
      <c r="BVR1" s="293"/>
      <c r="BVS1" s="293"/>
      <c r="BVT1" s="293"/>
      <c r="BVU1" s="293"/>
      <c r="BVV1" s="293"/>
      <c r="BVW1" s="293"/>
      <c r="BVX1" s="293"/>
      <c r="BVY1" s="293"/>
      <c r="BVZ1" s="293"/>
      <c r="BWA1" s="293"/>
      <c r="BWB1" s="293"/>
      <c r="BWC1" s="293"/>
      <c r="BWD1" s="293"/>
      <c r="BWE1" s="293"/>
      <c r="BWF1" s="293"/>
      <c r="BWG1" s="293"/>
      <c r="BWH1" s="293"/>
      <c r="BWI1" s="293"/>
      <c r="BWJ1" s="293"/>
      <c r="BWK1" s="293"/>
      <c r="BWL1" s="293"/>
      <c r="BWM1" s="293"/>
      <c r="BWN1" s="293"/>
      <c r="BWO1" s="293"/>
      <c r="BWP1" s="293"/>
      <c r="BWQ1" s="293"/>
      <c r="BWR1" s="293"/>
      <c r="BWS1" s="293"/>
      <c r="BWT1" s="293"/>
      <c r="BWU1" s="293"/>
      <c r="BWV1" s="293"/>
      <c r="BWW1" s="293"/>
      <c r="BWX1" s="293"/>
      <c r="BWY1" s="293"/>
      <c r="BWZ1" s="293"/>
      <c r="BXA1" s="293"/>
      <c r="BXB1" s="293"/>
      <c r="BXC1" s="293"/>
      <c r="BXD1" s="293"/>
      <c r="BXE1" s="293"/>
      <c r="BXF1" s="293"/>
      <c r="BXG1" s="293"/>
      <c r="BXH1" s="293"/>
      <c r="BXI1" s="293"/>
      <c r="BXJ1" s="293"/>
      <c r="BXK1" s="293"/>
      <c r="BXL1" s="293"/>
      <c r="BXM1" s="293"/>
      <c r="BXN1" s="293"/>
      <c r="BXO1" s="293"/>
      <c r="BXP1" s="293"/>
      <c r="BXQ1" s="293"/>
      <c r="BXR1" s="293"/>
      <c r="BXS1" s="293"/>
      <c r="BXT1" s="293"/>
      <c r="BXU1" s="293"/>
      <c r="BXV1" s="293"/>
      <c r="BXW1" s="293"/>
      <c r="BXX1" s="293"/>
      <c r="BXY1" s="293"/>
      <c r="BXZ1" s="293"/>
      <c r="BYA1" s="293"/>
      <c r="BYB1" s="293"/>
      <c r="BYC1" s="293"/>
      <c r="BYD1" s="293"/>
      <c r="BYE1" s="293"/>
      <c r="BYF1" s="293"/>
      <c r="BYG1" s="293"/>
      <c r="BYH1" s="293"/>
      <c r="BYI1" s="293"/>
      <c r="BYJ1" s="293"/>
      <c r="BYK1" s="293"/>
      <c r="BYL1" s="293"/>
      <c r="BYM1" s="293"/>
      <c r="BYN1" s="293"/>
      <c r="BYO1" s="293"/>
      <c r="BYP1" s="293"/>
      <c r="BYQ1" s="293"/>
      <c r="BYR1" s="293"/>
      <c r="BYS1" s="293"/>
      <c r="BYT1" s="293"/>
      <c r="BYU1" s="293"/>
      <c r="BYV1" s="293"/>
      <c r="BYW1" s="293"/>
      <c r="BYX1" s="293"/>
      <c r="BYY1" s="293"/>
      <c r="BYZ1" s="293"/>
      <c r="BZA1" s="293"/>
      <c r="BZB1" s="293"/>
      <c r="BZC1" s="293"/>
      <c r="BZD1" s="293"/>
      <c r="BZE1" s="293"/>
      <c r="BZF1" s="293"/>
      <c r="BZG1" s="293"/>
      <c r="BZH1" s="293"/>
      <c r="BZI1" s="293"/>
      <c r="BZJ1" s="293"/>
      <c r="BZK1" s="293"/>
      <c r="BZL1" s="293"/>
      <c r="BZM1" s="293"/>
      <c r="BZN1" s="293"/>
      <c r="BZO1" s="293"/>
      <c r="BZP1" s="293"/>
      <c r="BZQ1" s="293"/>
      <c r="BZR1" s="293"/>
      <c r="BZS1" s="293"/>
      <c r="BZT1" s="293"/>
      <c r="BZU1" s="293"/>
      <c r="BZV1" s="293"/>
      <c r="BZW1" s="293"/>
      <c r="BZX1" s="293"/>
      <c r="BZY1" s="293"/>
      <c r="BZZ1" s="293"/>
      <c r="CAA1" s="293"/>
      <c r="CAB1" s="293"/>
      <c r="CAC1" s="293"/>
      <c r="CAD1" s="293"/>
      <c r="CAE1" s="293"/>
      <c r="CAF1" s="293"/>
      <c r="CAG1" s="293"/>
      <c r="CAH1" s="293"/>
      <c r="CAI1" s="293"/>
      <c r="CAJ1" s="293"/>
      <c r="CAK1" s="293"/>
      <c r="CAL1" s="293"/>
      <c r="CAM1" s="293"/>
      <c r="CAN1" s="293"/>
      <c r="CAO1" s="293"/>
      <c r="CAP1" s="293"/>
      <c r="CAQ1" s="293"/>
      <c r="CAR1" s="293"/>
      <c r="CAS1" s="293"/>
      <c r="CAT1" s="293"/>
      <c r="CAU1" s="293"/>
      <c r="CAV1" s="293"/>
      <c r="CAW1" s="293"/>
      <c r="CAX1" s="293"/>
      <c r="CAY1" s="293"/>
      <c r="CAZ1" s="293"/>
      <c r="CBA1" s="293"/>
      <c r="CBB1" s="293"/>
      <c r="CBC1" s="293"/>
      <c r="CBD1" s="293"/>
      <c r="CBE1" s="293"/>
      <c r="CBF1" s="293"/>
      <c r="CBG1" s="293"/>
      <c r="CBH1" s="293"/>
      <c r="CBI1" s="293"/>
      <c r="CBJ1" s="293"/>
      <c r="CBK1" s="293"/>
      <c r="CBL1" s="293"/>
      <c r="CBM1" s="293"/>
      <c r="CBN1" s="293"/>
      <c r="CBO1" s="293"/>
      <c r="CBP1" s="293"/>
      <c r="CBQ1" s="293"/>
      <c r="CBR1" s="293"/>
      <c r="CBS1" s="293"/>
      <c r="CBT1" s="293"/>
      <c r="CBU1" s="293"/>
      <c r="CBV1" s="293"/>
      <c r="CBW1" s="293"/>
      <c r="CBX1" s="293"/>
      <c r="CBY1" s="293"/>
      <c r="CBZ1" s="293"/>
      <c r="CCA1" s="293"/>
      <c r="CCB1" s="293"/>
      <c r="CCC1" s="293"/>
      <c r="CCD1" s="293"/>
      <c r="CCE1" s="293"/>
      <c r="CCF1" s="293"/>
      <c r="CCG1" s="293"/>
      <c r="CCH1" s="293"/>
      <c r="CCI1" s="293"/>
      <c r="CCJ1" s="293"/>
      <c r="CCK1" s="293"/>
      <c r="CCL1" s="293"/>
      <c r="CCM1" s="293"/>
      <c r="CCN1" s="293"/>
      <c r="CCO1" s="293"/>
      <c r="CCP1" s="293"/>
      <c r="CCQ1" s="293"/>
      <c r="CCR1" s="293"/>
      <c r="CCS1" s="293"/>
      <c r="CCT1" s="293"/>
      <c r="CCU1" s="293"/>
      <c r="CCV1" s="293"/>
      <c r="CCW1" s="293"/>
      <c r="CCX1" s="293"/>
      <c r="CCY1" s="293"/>
      <c r="CCZ1" s="293"/>
      <c r="CDA1" s="293"/>
      <c r="CDB1" s="293"/>
      <c r="CDC1" s="293"/>
      <c r="CDD1" s="293"/>
      <c r="CDE1" s="293"/>
      <c r="CDF1" s="293"/>
      <c r="CDG1" s="293"/>
      <c r="CDH1" s="293"/>
      <c r="CDI1" s="293"/>
      <c r="CDJ1" s="293"/>
      <c r="CDK1" s="293"/>
      <c r="CDL1" s="293"/>
      <c r="CDM1" s="293"/>
      <c r="CDN1" s="293"/>
      <c r="CDO1" s="293"/>
      <c r="CDP1" s="293"/>
      <c r="CDQ1" s="293"/>
      <c r="CDR1" s="293"/>
      <c r="CDS1" s="293"/>
      <c r="CDT1" s="293"/>
      <c r="CDU1" s="293"/>
      <c r="CDV1" s="293"/>
      <c r="CDW1" s="293"/>
      <c r="CDX1" s="293"/>
      <c r="CDY1" s="293"/>
      <c r="CDZ1" s="293"/>
      <c r="CEA1" s="293"/>
      <c r="CEB1" s="293"/>
      <c r="CEC1" s="293"/>
      <c r="CED1" s="293"/>
      <c r="CEE1" s="293"/>
      <c r="CEF1" s="293"/>
      <c r="CEG1" s="293"/>
      <c r="CEH1" s="293"/>
      <c r="CEI1" s="293"/>
      <c r="CEJ1" s="293"/>
      <c r="CEK1" s="293"/>
      <c r="CEL1" s="293"/>
      <c r="CEM1" s="293"/>
      <c r="CEN1" s="293"/>
      <c r="CEO1" s="293"/>
      <c r="CEP1" s="293"/>
      <c r="CEQ1" s="293"/>
      <c r="CER1" s="293"/>
      <c r="CES1" s="293"/>
      <c r="CET1" s="293"/>
      <c r="CEU1" s="293"/>
      <c r="CEV1" s="293"/>
      <c r="CEW1" s="293"/>
      <c r="CEX1" s="293"/>
      <c r="CEY1" s="293"/>
      <c r="CEZ1" s="293"/>
      <c r="CFA1" s="293"/>
      <c r="CFB1" s="293"/>
      <c r="CFC1" s="293"/>
      <c r="CFD1" s="293"/>
      <c r="CFE1" s="293"/>
      <c r="CFF1" s="293"/>
      <c r="CFG1" s="293"/>
      <c r="CFH1" s="293"/>
      <c r="CFI1" s="293"/>
      <c r="CFJ1" s="293"/>
      <c r="CFK1" s="293"/>
      <c r="CFL1" s="293"/>
      <c r="CFM1" s="293"/>
      <c r="CFN1" s="293"/>
      <c r="CFO1" s="293"/>
      <c r="CFP1" s="293"/>
      <c r="CFQ1" s="293"/>
      <c r="CFR1" s="293"/>
      <c r="CFS1" s="293"/>
      <c r="CFT1" s="293"/>
      <c r="CFU1" s="293"/>
      <c r="CFV1" s="293"/>
      <c r="CFW1" s="293"/>
      <c r="CFX1" s="293"/>
      <c r="CFY1" s="293"/>
      <c r="CFZ1" s="293"/>
      <c r="CGA1" s="293"/>
      <c r="CGB1" s="293"/>
      <c r="CGC1" s="293"/>
      <c r="CGD1" s="293"/>
      <c r="CGE1" s="293"/>
      <c r="CGF1" s="293"/>
      <c r="CGG1" s="293"/>
      <c r="CGH1" s="293"/>
      <c r="CGI1" s="293"/>
      <c r="CGJ1" s="293"/>
      <c r="CGK1" s="293"/>
      <c r="CGL1" s="293"/>
      <c r="CGM1" s="293"/>
      <c r="CGN1" s="293"/>
      <c r="CGO1" s="293"/>
      <c r="CGP1" s="293"/>
      <c r="CGQ1" s="293"/>
      <c r="CGR1" s="293"/>
      <c r="CGS1" s="293"/>
      <c r="CGT1" s="293"/>
      <c r="CGU1" s="293"/>
      <c r="CGV1" s="293"/>
      <c r="CGW1" s="293"/>
      <c r="CGX1" s="293"/>
      <c r="CGY1" s="293"/>
      <c r="CGZ1" s="293"/>
      <c r="CHA1" s="293"/>
      <c r="CHB1" s="293"/>
      <c r="CHC1" s="293"/>
      <c r="CHD1" s="293"/>
      <c r="CHE1" s="293"/>
      <c r="CHF1" s="293"/>
      <c r="CHG1" s="293"/>
      <c r="CHH1" s="293"/>
      <c r="CHI1" s="293"/>
      <c r="CHJ1" s="293"/>
      <c r="CHK1" s="293"/>
      <c r="CHL1" s="293"/>
      <c r="CHM1" s="293"/>
      <c r="CHN1" s="293"/>
      <c r="CHO1" s="293"/>
      <c r="CHP1" s="293"/>
      <c r="CHQ1" s="293"/>
      <c r="CHR1" s="293"/>
      <c r="CHS1" s="293"/>
      <c r="CHT1" s="293"/>
      <c r="CHU1" s="293"/>
      <c r="CHV1" s="293"/>
      <c r="CHW1" s="293"/>
      <c r="CHX1" s="293"/>
      <c r="CHY1" s="293"/>
      <c r="CHZ1" s="293"/>
      <c r="CIA1" s="293"/>
      <c r="CIB1" s="293"/>
      <c r="CIC1" s="293"/>
      <c r="CID1" s="293"/>
      <c r="CIE1" s="293"/>
      <c r="CIF1" s="293"/>
      <c r="CIG1" s="293"/>
      <c r="CIH1" s="293"/>
      <c r="CII1" s="293"/>
      <c r="CIJ1" s="293"/>
      <c r="CIK1" s="293"/>
      <c r="CIL1" s="293"/>
      <c r="CIM1" s="293"/>
      <c r="CIN1" s="293"/>
      <c r="CIO1" s="293"/>
      <c r="CIP1" s="293"/>
      <c r="CIQ1" s="293"/>
      <c r="CIR1" s="293"/>
      <c r="CIS1" s="293"/>
      <c r="CIT1" s="293"/>
      <c r="CIU1" s="293"/>
      <c r="CIV1" s="293"/>
      <c r="CIW1" s="293"/>
      <c r="CIX1" s="293"/>
      <c r="CIY1" s="293"/>
      <c r="CIZ1" s="293"/>
      <c r="CJA1" s="293"/>
      <c r="CJB1" s="293"/>
      <c r="CJC1" s="293"/>
      <c r="CJD1" s="293"/>
      <c r="CJE1" s="293"/>
      <c r="CJF1" s="293"/>
      <c r="CJG1" s="293"/>
      <c r="CJH1" s="293"/>
      <c r="CJI1" s="293"/>
      <c r="CJJ1" s="293"/>
      <c r="CJK1" s="293"/>
      <c r="CJL1" s="293"/>
      <c r="CJM1" s="293"/>
      <c r="CJN1" s="293"/>
      <c r="CJO1" s="293"/>
      <c r="CJP1" s="293"/>
      <c r="CJQ1" s="293"/>
      <c r="CJR1" s="293"/>
      <c r="CJS1" s="293"/>
      <c r="CJT1" s="293"/>
      <c r="CJU1" s="293"/>
      <c r="CJV1" s="293"/>
      <c r="CJW1" s="293"/>
      <c r="CJX1" s="293"/>
      <c r="CJY1" s="293"/>
      <c r="CJZ1" s="293"/>
      <c r="CKA1" s="293"/>
      <c r="CKB1" s="293"/>
      <c r="CKC1" s="293"/>
      <c r="CKD1" s="293"/>
      <c r="CKE1" s="293"/>
      <c r="CKF1" s="293"/>
      <c r="CKG1" s="293"/>
      <c r="CKH1" s="293"/>
      <c r="CKI1" s="293"/>
      <c r="CKJ1" s="293"/>
      <c r="CKK1" s="293"/>
      <c r="CKL1" s="293"/>
      <c r="CKM1" s="293"/>
      <c r="CKN1" s="293"/>
      <c r="CKO1" s="293"/>
      <c r="CKP1" s="293"/>
      <c r="CKQ1" s="293"/>
      <c r="CKR1" s="293"/>
      <c r="CKS1" s="293"/>
      <c r="CKT1" s="293"/>
      <c r="CKU1" s="293"/>
      <c r="CKV1" s="293"/>
      <c r="CKW1" s="293"/>
      <c r="CKX1" s="293"/>
      <c r="CKY1" s="293"/>
      <c r="CKZ1" s="293"/>
      <c r="CLA1" s="293"/>
      <c r="CLB1" s="293"/>
      <c r="CLC1" s="293"/>
      <c r="CLD1" s="293"/>
      <c r="CLE1" s="293"/>
      <c r="CLF1" s="293"/>
      <c r="CLG1" s="293"/>
      <c r="CLH1" s="293"/>
      <c r="CLI1" s="293"/>
      <c r="CLJ1" s="293"/>
      <c r="CLK1" s="293"/>
      <c r="CLL1" s="293"/>
      <c r="CLM1" s="293"/>
      <c r="CLN1" s="293"/>
      <c r="CLO1" s="293"/>
      <c r="CLP1" s="293"/>
      <c r="CLQ1" s="293"/>
      <c r="CLR1" s="293"/>
      <c r="CLS1" s="293"/>
      <c r="CLT1" s="293"/>
      <c r="CLU1" s="293"/>
      <c r="CLV1" s="293"/>
      <c r="CLW1" s="293"/>
      <c r="CLX1" s="293"/>
      <c r="CLY1" s="293"/>
      <c r="CLZ1" s="293"/>
      <c r="CMA1" s="293"/>
      <c r="CMB1" s="293"/>
      <c r="CMC1" s="293"/>
      <c r="CMD1" s="293"/>
      <c r="CME1" s="293"/>
      <c r="CMF1" s="293"/>
      <c r="CMG1" s="293"/>
      <c r="CMH1" s="293"/>
      <c r="CMI1" s="293"/>
      <c r="CMJ1" s="293"/>
      <c r="CMK1" s="293"/>
      <c r="CML1" s="293"/>
      <c r="CMM1" s="293"/>
      <c r="CMN1" s="293"/>
      <c r="CMO1" s="293"/>
      <c r="CMP1" s="293"/>
      <c r="CMQ1" s="293"/>
      <c r="CMR1" s="293"/>
      <c r="CMS1" s="293"/>
      <c r="CMT1" s="293"/>
      <c r="CMU1" s="293"/>
      <c r="CMV1" s="293"/>
      <c r="CMW1" s="293"/>
      <c r="CMX1" s="293"/>
      <c r="CMY1" s="293"/>
      <c r="CMZ1" s="293"/>
      <c r="CNA1" s="293"/>
      <c r="CNB1" s="293"/>
      <c r="CNC1" s="293"/>
      <c r="CND1" s="293"/>
      <c r="CNE1" s="293"/>
      <c r="CNF1" s="293"/>
      <c r="CNG1" s="293"/>
      <c r="CNH1" s="293"/>
      <c r="CNI1" s="293"/>
      <c r="CNJ1" s="293"/>
      <c r="CNK1" s="293"/>
      <c r="CNL1" s="293"/>
      <c r="CNM1" s="293"/>
      <c r="CNN1" s="293"/>
      <c r="CNO1" s="293"/>
      <c r="CNP1" s="293"/>
      <c r="CNQ1" s="293"/>
      <c r="CNR1" s="293"/>
      <c r="CNS1" s="293"/>
      <c r="CNT1" s="293"/>
      <c r="CNU1" s="293"/>
      <c r="CNV1" s="293"/>
      <c r="CNW1" s="293"/>
      <c r="CNX1" s="293"/>
      <c r="CNY1" s="293"/>
      <c r="CNZ1" s="293"/>
      <c r="COA1" s="293"/>
      <c r="COB1" s="293"/>
      <c r="COC1" s="293"/>
      <c r="COD1" s="293"/>
      <c r="COE1" s="293"/>
      <c r="COF1" s="293"/>
      <c r="COG1" s="293"/>
      <c r="COH1" s="293"/>
      <c r="COI1" s="293"/>
      <c r="COJ1" s="293"/>
      <c r="COK1" s="293"/>
      <c r="COL1" s="293"/>
      <c r="COM1" s="293"/>
      <c r="CON1" s="293"/>
      <c r="COO1" s="293"/>
      <c r="COP1" s="293"/>
      <c r="COQ1" s="293"/>
      <c r="COR1" s="293"/>
      <c r="COS1" s="293"/>
      <c r="COT1" s="293"/>
      <c r="COU1" s="293"/>
      <c r="COV1" s="293"/>
      <c r="COW1" s="293"/>
      <c r="COX1" s="293"/>
      <c r="COY1" s="293"/>
      <c r="COZ1" s="293"/>
      <c r="CPA1" s="293"/>
      <c r="CPB1" s="293"/>
      <c r="CPC1" s="293"/>
      <c r="CPD1" s="293"/>
      <c r="CPE1" s="293"/>
      <c r="CPF1" s="293"/>
      <c r="CPG1" s="293"/>
      <c r="CPH1" s="293"/>
      <c r="CPI1" s="293"/>
      <c r="CPJ1" s="293"/>
      <c r="CPK1" s="293"/>
      <c r="CPL1" s="293"/>
      <c r="CPM1" s="293"/>
      <c r="CPN1" s="293"/>
      <c r="CPO1" s="293"/>
      <c r="CPP1" s="293"/>
      <c r="CPQ1" s="293"/>
      <c r="CPR1" s="293"/>
      <c r="CPS1" s="293"/>
      <c r="CPT1" s="293"/>
      <c r="CPU1" s="293"/>
      <c r="CPV1" s="293"/>
      <c r="CPW1" s="293"/>
      <c r="CPX1" s="293"/>
      <c r="CPY1" s="293"/>
      <c r="CPZ1" s="293"/>
      <c r="CQA1" s="293"/>
      <c r="CQB1" s="293"/>
      <c r="CQC1" s="293"/>
      <c r="CQD1" s="293"/>
      <c r="CQE1" s="293"/>
      <c r="CQF1" s="293"/>
      <c r="CQG1" s="293"/>
      <c r="CQH1" s="293"/>
      <c r="CQI1" s="293"/>
      <c r="CQJ1" s="293"/>
      <c r="CQK1" s="293"/>
      <c r="CQL1" s="293"/>
      <c r="CQM1" s="293"/>
      <c r="CQN1" s="293"/>
      <c r="CQO1" s="293"/>
      <c r="CQP1" s="293"/>
      <c r="CQQ1" s="293"/>
      <c r="CQR1" s="293"/>
      <c r="CQS1" s="293"/>
      <c r="CQT1" s="293"/>
      <c r="CQU1" s="293"/>
      <c r="CQV1" s="293"/>
      <c r="CQW1" s="293"/>
      <c r="CQX1" s="293"/>
      <c r="CQY1" s="293"/>
      <c r="CQZ1" s="293"/>
      <c r="CRA1" s="293"/>
      <c r="CRB1" s="293"/>
      <c r="CRC1" s="293"/>
      <c r="CRD1" s="293"/>
      <c r="CRE1" s="293"/>
      <c r="CRF1" s="293"/>
      <c r="CRG1" s="293"/>
      <c r="CRH1" s="293"/>
      <c r="CRI1" s="293"/>
      <c r="CRJ1" s="293"/>
      <c r="CRK1" s="293"/>
      <c r="CRL1" s="293"/>
      <c r="CRM1" s="293"/>
      <c r="CRN1" s="293"/>
      <c r="CRO1" s="293"/>
      <c r="CRP1" s="293"/>
      <c r="CRQ1" s="293"/>
      <c r="CRR1" s="293"/>
      <c r="CRS1" s="293"/>
      <c r="CRT1" s="293"/>
      <c r="CRU1" s="293"/>
      <c r="CRV1" s="293"/>
      <c r="CRW1" s="293"/>
      <c r="CRX1" s="293"/>
      <c r="CRY1" s="293"/>
      <c r="CRZ1" s="293"/>
      <c r="CSA1" s="293"/>
      <c r="CSB1" s="293"/>
      <c r="CSC1" s="293"/>
      <c r="CSD1" s="293"/>
      <c r="CSE1" s="293"/>
      <c r="CSF1" s="293"/>
      <c r="CSG1" s="293"/>
      <c r="CSH1" s="293"/>
      <c r="CSI1" s="293"/>
      <c r="CSJ1" s="293"/>
      <c r="CSK1" s="293"/>
      <c r="CSL1" s="293"/>
      <c r="CSM1" s="293"/>
      <c r="CSN1" s="293"/>
      <c r="CSO1" s="293"/>
      <c r="CSP1" s="293"/>
      <c r="CSQ1" s="293"/>
      <c r="CSR1" s="293"/>
      <c r="CSS1" s="293"/>
      <c r="CST1" s="293"/>
      <c r="CSU1" s="293"/>
      <c r="CSV1" s="293"/>
      <c r="CSW1" s="293"/>
      <c r="CSX1" s="293"/>
      <c r="CSY1" s="293"/>
      <c r="CSZ1" s="293"/>
      <c r="CTA1" s="293"/>
      <c r="CTB1" s="293"/>
      <c r="CTC1" s="293"/>
      <c r="CTD1" s="293"/>
      <c r="CTE1" s="293"/>
      <c r="CTF1" s="293"/>
      <c r="CTG1" s="293"/>
      <c r="CTH1" s="293"/>
      <c r="CTI1" s="293"/>
      <c r="CTJ1" s="293"/>
      <c r="CTK1" s="293"/>
      <c r="CTL1" s="293"/>
      <c r="CTM1" s="293"/>
      <c r="CTN1" s="293"/>
      <c r="CTO1" s="293"/>
      <c r="CTP1" s="293"/>
      <c r="CTQ1" s="293"/>
      <c r="CTR1" s="293"/>
      <c r="CTS1" s="293"/>
      <c r="CTT1" s="293"/>
      <c r="CTU1" s="293"/>
      <c r="CTV1" s="293"/>
      <c r="CTW1" s="293"/>
      <c r="CTX1" s="293"/>
      <c r="CTY1" s="293"/>
      <c r="CTZ1" s="293"/>
      <c r="CUA1" s="293"/>
      <c r="CUB1" s="293"/>
      <c r="CUC1" s="293"/>
      <c r="CUD1" s="293"/>
      <c r="CUE1" s="293"/>
      <c r="CUF1" s="293"/>
      <c r="CUG1" s="293"/>
      <c r="CUH1" s="293"/>
      <c r="CUI1" s="293"/>
      <c r="CUJ1" s="293"/>
      <c r="CUK1" s="293"/>
      <c r="CUL1" s="293"/>
      <c r="CUM1" s="293"/>
      <c r="CUN1" s="293"/>
      <c r="CUO1" s="293"/>
      <c r="CUP1" s="293"/>
      <c r="CUQ1" s="293"/>
      <c r="CUR1" s="293"/>
      <c r="CUS1" s="293"/>
      <c r="CUT1" s="293"/>
      <c r="CUU1" s="293"/>
      <c r="CUV1" s="293"/>
      <c r="CUW1" s="293"/>
      <c r="CUX1" s="293"/>
      <c r="CUY1" s="293"/>
      <c r="CUZ1" s="293"/>
      <c r="CVA1" s="293"/>
      <c r="CVB1" s="293"/>
      <c r="CVC1" s="293"/>
      <c r="CVD1" s="293"/>
      <c r="CVE1" s="293"/>
      <c r="CVF1" s="293"/>
      <c r="CVG1" s="293"/>
      <c r="CVH1" s="293"/>
      <c r="CVI1" s="293"/>
      <c r="CVJ1" s="293"/>
      <c r="CVK1" s="293"/>
      <c r="CVL1" s="293"/>
      <c r="CVM1" s="293"/>
      <c r="CVN1" s="293"/>
      <c r="CVO1" s="293"/>
      <c r="CVP1" s="293"/>
      <c r="CVQ1" s="293"/>
      <c r="CVR1" s="293"/>
      <c r="CVS1" s="293"/>
      <c r="CVT1" s="293"/>
      <c r="CVU1" s="293"/>
      <c r="CVV1" s="293"/>
      <c r="CVW1" s="293"/>
      <c r="CVX1" s="293"/>
      <c r="CVY1" s="293"/>
      <c r="CVZ1" s="293"/>
      <c r="CWA1" s="293"/>
      <c r="CWB1" s="293"/>
      <c r="CWC1" s="293"/>
      <c r="CWD1" s="293"/>
      <c r="CWE1" s="293"/>
      <c r="CWF1" s="293"/>
      <c r="CWG1" s="293"/>
      <c r="CWH1" s="293"/>
      <c r="CWI1" s="293"/>
      <c r="CWJ1" s="293"/>
      <c r="CWK1" s="293"/>
      <c r="CWL1" s="293"/>
      <c r="CWM1" s="293"/>
      <c r="CWN1" s="293"/>
      <c r="CWO1" s="293"/>
      <c r="CWP1" s="293"/>
      <c r="CWQ1" s="293"/>
      <c r="CWR1" s="293"/>
      <c r="CWS1" s="293"/>
      <c r="CWT1" s="293"/>
      <c r="CWU1" s="293"/>
      <c r="CWV1" s="293"/>
      <c r="CWW1" s="293"/>
      <c r="CWX1" s="293"/>
      <c r="CWY1" s="293"/>
      <c r="CWZ1" s="293"/>
      <c r="CXA1" s="293"/>
      <c r="CXB1" s="293"/>
      <c r="CXC1" s="293"/>
      <c r="CXD1" s="293"/>
      <c r="CXE1" s="293"/>
      <c r="CXF1" s="293"/>
      <c r="CXG1" s="293"/>
      <c r="CXH1" s="293"/>
      <c r="CXI1" s="293"/>
      <c r="CXJ1" s="293"/>
      <c r="CXK1" s="293"/>
      <c r="CXL1" s="293"/>
      <c r="CXM1" s="293"/>
      <c r="CXN1" s="293"/>
      <c r="CXO1" s="293"/>
      <c r="CXP1" s="293"/>
      <c r="CXQ1" s="293"/>
      <c r="CXR1" s="293"/>
      <c r="CXS1" s="293"/>
      <c r="CXT1" s="293"/>
      <c r="CXU1" s="293"/>
      <c r="CXV1" s="293"/>
      <c r="CXW1" s="293"/>
      <c r="CXX1" s="293"/>
      <c r="CXY1" s="293"/>
      <c r="CXZ1" s="293"/>
      <c r="CYA1" s="293"/>
      <c r="CYB1" s="293"/>
      <c r="CYC1" s="293"/>
      <c r="CYD1" s="293"/>
      <c r="CYE1" s="293"/>
      <c r="CYF1" s="293"/>
      <c r="CYG1" s="293"/>
      <c r="CYH1" s="293"/>
      <c r="CYI1" s="293"/>
      <c r="CYJ1" s="293"/>
      <c r="CYK1" s="293"/>
      <c r="CYL1" s="293"/>
      <c r="CYM1" s="293"/>
      <c r="CYN1" s="293"/>
      <c r="CYO1" s="293"/>
      <c r="CYP1" s="293"/>
      <c r="CYQ1" s="293"/>
      <c r="CYR1" s="293"/>
      <c r="CYS1" s="293"/>
      <c r="CYT1" s="293"/>
      <c r="CYU1" s="293"/>
      <c r="CYV1" s="293"/>
      <c r="CYW1" s="293"/>
      <c r="CYX1" s="293"/>
      <c r="CYY1" s="293"/>
      <c r="CYZ1" s="293"/>
      <c r="CZA1" s="293"/>
      <c r="CZB1" s="293"/>
      <c r="CZC1" s="293"/>
      <c r="CZD1" s="293"/>
      <c r="CZE1" s="293"/>
      <c r="CZF1" s="293"/>
      <c r="CZG1" s="293"/>
      <c r="CZH1" s="293"/>
      <c r="CZI1" s="293"/>
      <c r="CZJ1" s="293"/>
      <c r="CZK1" s="293"/>
      <c r="CZL1" s="293"/>
      <c r="CZM1" s="293"/>
      <c r="CZN1" s="293"/>
      <c r="CZO1" s="293"/>
      <c r="CZP1" s="293"/>
      <c r="CZQ1" s="293"/>
      <c r="CZR1" s="293"/>
      <c r="CZS1" s="293"/>
      <c r="CZT1" s="293"/>
      <c r="CZU1" s="293"/>
      <c r="CZV1" s="293"/>
      <c r="CZW1" s="293"/>
      <c r="CZX1" s="293"/>
      <c r="CZY1" s="293"/>
      <c r="CZZ1" s="293"/>
      <c r="DAA1" s="293"/>
      <c r="DAB1" s="293"/>
      <c r="DAC1" s="293"/>
      <c r="DAD1" s="293"/>
      <c r="DAE1" s="293"/>
      <c r="DAF1" s="293"/>
      <c r="DAG1" s="293"/>
      <c r="DAH1" s="293"/>
      <c r="DAI1" s="293"/>
      <c r="DAJ1" s="293"/>
      <c r="DAK1" s="293"/>
      <c r="DAL1" s="293"/>
      <c r="DAM1" s="293"/>
      <c r="DAN1" s="293"/>
      <c r="DAO1" s="293"/>
      <c r="DAP1" s="293"/>
      <c r="DAQ1" s="293"/>
      <c r="DAR1" s="293"/>
      <c r="DAS1" s="293"/>
      <c r="DAT1" s="293"/>
      <c r="DAU1" s="293"/>
      <c r="DAV1" s="293"/>
      <c r="DAW1" s="293"/>
      <c r="DAX1" s="293"/>
      <c r="DAY1" s="293"/>
      <c r="DAZ1" s="293"/>
      <c r="DBA1" s="293"/>
      <c r="DBB1" s="293"/>
      <c r="DBC1" s="293"/>
      <c r="DBD1" s="293"/>
      <c r="DBE1" s="293"/>
      <c r="DBF1" s="293"/>
      <c r="DBG1" s="293"/>
      <c r="DBH1" s="293"/>
      <c r="DBI1" s="293"/>
      <c r="DBJ1" s="293"/>
      <c r="DBK1" s="293"/>
      <c r="DBL1" s="293"/>
      <c r="DBM1" s="293"/>
      <c r="DBN1" s="293"/>
      <c r="DBO1" s="293"/>
      <c r="DBP1" s="293"/>
      <c r="DBQ1" s="293"/>
      <c r="DBR1" s="293"/>
      <c r="DBS1" s="293"/>
      <c r="DBT1" s="293"/>
      <c r="DBU1" s="293"/>
      <c r="DBV1" s="293"/>
      <c r="DBW1" s="293"/>
      <c r="DBX1" s="293"/>
      <c r="DBY1" s="293"/>
      <c r="DBZ1" s="293"/>
      <c r="DCA1" s="293"/>
      <c r="DCB1" s="293"/>
      <c r="DCC1" s="293"/>
      <c r="DCD1" s="293"/>
      <c r="DCE1" s="293"/>
      <c r="DCF1" s="293"/>
      <c r="DCG1" s="293"/>
      <c r="DCH1" s="293"/>
      <c r="DCI1" s="293"/>
      <c r="DCJ1" s="293"/>
      <c r="DCK1" s="293"/>
      <c r="DCL1" s="293"/>
      <c r="DCM1" s="293"/>
      <c r="DCN1" s="293"/>
      <c r="DCO1" s="293"/>
      <c r="DCP1" s="293"/>
      <c r="DCQ1" s="293"/>
      <c r="DCR1" s="293"/>
      <c r="DCS1" s="293"/>
      <c r="DCT1" s="293"/>
      <c r="DCU1" s="293"/>
      <c r="DCV1" s="293"/>
      <c r="DCW1" s="293"/>
      <c r="DCX1" s="293"/>
      <c r="DCY1" s="293"/>
      <c r="DCZ1" s="293"/>
      <c r="DDA1" s="293"/>
      <c r="DDB1" s="293"/>
      <c r="DDC1" s="293"/>
      <c r="DDD1" s="293"/>
      <c r="DDE1" s="293"/>
      <c r="DDF1" s="293"/>
      <c r="DDG1" s="293"/>
      <c r="DDH1" s="293"/>
      <c r="DDI1" s="293"/>
      <c r="DDJ1" s="293"/>
      <c r="DDK1" s="293"/>
      <c r="DDL1" s="293"/>
      <c r="DDM1" s="293"/>
      <c r="DDN1" s="293"/>
      <c r="DDO1" s="293"/>
      <c r="DDP1" s="293"/>
      <c r="DDQ1" s="293"/>
      <c r="DDR1" s="293"/>
      <c r="DDS1" s="293"/>
      <c r="DDT1" s="293"/>
      <c r="DDU1" s="293"/>
      <c r="DDV1" s="293"/>
      <c r="DDW1" s="293"/>
      <c r="DDX1" s="293"/>
      <c r="DDY1" s="293"/>
      <c r="DDZ1" s="293"/>
      <c r="DEA1" s="293"/>
      <c r="DEB1" s="293"/>
      <c r="DEC1" s="293"/>
      <c r="DED1" s="293"/>
      <c r="DEE1" s="293"/>
      <c r="DEF1" s="293"/>
      <c r="DEG1" s="293"/>
      <c r="DEH1" s="293"/>
      <c r="DEI1" s="293"/>
      <c r="DEJ1" s="293"/>
      <c r="DEK1" s="293"/>
      <c r="DEL1" s="293"/>
      <c r="DEM1" s="293"/>
      <c r="DEN1" s="293"/>
      <c r="DEO1" s="293"/>
      <c r="DEP1" s="293"/>
      <c r="DEQ1" s="293"/>
      <c r="DER1" s="293"/>
      <c r="DES1" s="293"/>
      <c r="DET1" s="293"/>
      <c r="DEU1" s="293"/>
      <c r="DEV1" s="293"/>
      <c r="DEW1" s="293"/>
      <c r="DEX1" s="293"/>
      <c r="DEY1" s="293"/>
      <c r="DEZ1" s="293"/>
      <c r="DFA1" s="293"/>
      <c r="DFB1" s="293"/>
      <c r="DFC1" s="293"/>
      <c r="DFD1" s="293"/>
      <c r="DFE1" s="293"/>
      <c r="DFF1" s="293"/>
      <c r="DFG1" s="293"/>
      <c r="DFH1" s="293"/>
      <c r="DFI1" s="293"/>
      <c r="DFJ1" s="293"/>
      <c r="DFK1" s="293"/>
      <c r="DFL1" s="293"/>
      <c r="DFM1" s="293"/>
      <c r="DFN1" s="293"/>
      <c r="DFO1" s="293"/>
      <c r="DFP1" s="293"/>
      <c r="DFQ1" s="293"/>
      <c r="DFR1" s="293"/>
      <c r="DFS1" s="293"/>
      <c r="DFT1" s="293"/>
      <c r="DFU1" s="293"/>
      <c r="DFV1" s="293"/>
      <c r="DFW1" s="293"/>
      <c r="DFX1" s="293"/>
      <c r="DFY1" s="293"/>
      <c r="DFZ1" s="293"/>
      <c r="DGA1" s="293"/>
      <c r="DGB1" s="293"/>
      <c r="DGC1" s="293"/>
      <c r="DGD1" s="293"/>
      <c r="DGE1" s="293"/>
      <c r="DGF1" s="293"/>
      <c r="DGG1" s="293"/>
      <c r="DGH1" s="293"/>
      <c r="DGI1" s="293"/>
      <c r="DGJ1" s="293"/>
      <c r="DGK1" s="293"/>
      <c r="DGL1" s="293"/>
      <c r="DGM1" s="293"/>
      <c r="DGN1" s="293"/>
      <c r="DGO1" s="293"/>
      <c r="DGP1" s="293"/>
      <c r="DGQ1" s="293"/>
      <c r="DGR1" s="293"/>
      <c r="DGS1" s="293"/>
      <c r="DGT1" s="293"/>
      <c r="DGU1" s="293"/>
      <c r="DGV1" s="293"/>
      <c r="DGW1" s="293"/>
      <c r="DGX1" s="293"/>
      <c r="DGY1" s="293"/>
      <c r="DGZ1" s="293"/>
      <c r="DHA1" s="293"/>
      <c r="DHB1" s="293"/>
      <c r="DHC1" s="293"/>
      <c r="DHD1" s="293"/>
      <c r="DHE1" s="293"/>
      <c r="DHF1" s="293"/>
      <c r="DHG1" s="293"/>
      <c r="DHH1" s="293"/>
      <c r="DHI1" s="293"/>
      <c r="DHJ1" s="293"/>
      <c r="DHK1" s="293"/>
      <c r="DHL1" s="293"/>
      <c r="DHM1" s="293"/>
      <c r="DHN1" s="293"/>
      <c r="DHO1" s="293"/>
      <c r="DHP1" s="293"/>
      <c r="DHQ1" s="293"/>
      <c r="DHR1" s="293"/>
      <c r="DHS1" s="293"/>
      <c r="DHT1" s="293"/>
      <c r="DHU1" s="293"/>
      <c r="DHV1" s="293"/>
      <c r="DHW1" s="293"/>
      <c r="DHX1" s="293"/>
      <c r="DHY1" s="293"/>
      <c r="DHZ1" s="293"/>
      <c r="DIA1" s="293"/>
      <c r="DIB1" s="293"/>
      <c r="DIC1" s="293"/>
      <c r="DID1" s="293"/>
      <c r="DIE1" s="293"/>
      <c r="DIF1" s="293"/>
      <c r="DIG1" s="293"/>
      <c r="DIH1" s="293"/>
      <c r="DII1" s="293"/>
      <c r="DIJ1" s="293"/>
      <c r="DIK1" s="293"/>
      <c r="DIL1" s="293"/>
      <c r="DIM1" s="293"/>
      <c r="DIN1" s="293"/>
      <c r="DIO1" s="293"/>
      <c r="DIP1" s="293"/>
      <c r="DIQ1" s="293"/>
      <c r="DIR1" s="293"/>
      <c r="DIS1" s="293"/>
      <c r="DIT1" s="293"/>
      <c r="DIU1" s="293"/>
      <c r="DIV1" s="293"/>
      <c r="DIW1" s="293"/>
      <c r="DIX1" s="293"/>
      <c r="DIY1" s="293"/>
      <c r="DIZ1" s="293"/>
      <c r="DJA1" s="293"/>
      <c r="DJB1" s="293"/>
      <c r="DJC1" s="293"/>
      <c r="DJD1" s="293"/>
      <c r="DJE1" s="293"/>
      <c r="DJF1" s="293"/>
      <c r="DJG1" s="293"/>
      <c r="DJH1" s="293"/>
      <c r="DJI1" s="293"/>
      <c r="DJJ1" s="293"/>
      <c r="DJK1" s="293"/>
      <c r="DJL1" s="293"/>
      <c r="DJM1" s="293"/>
      <c r="DJN1" s="293"/>
      <c r="DJO1" s="293"/>
      <c r="DJP1" s="293"/>
      <c r="DJQ1" s="293"/>
      <c r="DJR1" s="293"/>
      <c r="DJS1" s="293"/>
      <c r="DJT1" s="293"/>
      <c r="DJU1" s="293"/>
      <c r="DJV1" s="293"/>
      <c r="DJW1" s="293"/>
      <c r="DJX1" s="293"/>
      <c r="DJY1" s="293"/>
      <c r="DJZ1" s="293"/>
      <c r="DKA1" s="293"/>
      <c r="DKB1" s="293"/>
      <c r="DKC1" s="293"/>
      <c r="DKD1" s="293"/>
      <c r="DKE1" s="293"/>
      <c r="DKF1" s="293"/>
      <c r="DKG1" s="293"/>
      <c r="DKH1" s="293"/>
      <c r="DKI1" s="293"/>
      <c r="DKJ1" s="293"/>
      <c r="DKK1" s="293"/>
      <c r="DKL1" s="293"/>
      <c r="DKM1" s="293"/>
      <c r="DKN1" s="293"/>
      <c r="DKO1" s="293"/>
      <c r="DKP1" s="293"/>
      <c r="DKQ1" s="293"/>
      <c r="DKR1" s="293"/>
      <c r="DKS1" s="293"/>
      <c r="DKT1" s="293"/>
      <c r="DKU1" s="293"/>
      <c r="DKV1" s="293"/>
      <c r="DKW1" s="293"/>
      <c r="DKX1" s="293"/>
      <c r="DKY1" s="293"/>
      <c r="DKZ1" s="293"/>
      <c r="DLA1" s="293"/>
      <c r="DLB1" s="293"/>
      <c r="DLC1" s="293"/>
      <c r="DLD1" s="293"/>
      <c r="DLE1" s="293"/>
      <c r="DLF1" s="293"/>
      <c r="DLG1" s="293"/>
      <c r="DLH1" s="293"/>
      <c r="DLI1" s="293"/>
      <c r="DLJ1" s="293"/>
      <c r="DLK1" s="293"/>
      <c r="DLL1" s="293"/>
      <c r="DLM1" s="293"/>
      <c r="DLN1" s="293"/>
      <c r="DLO1" s="293"/>
      <c r="DLP1" s="293"/>
      <c r="DLQ1" s="293"/>
      <c r="DLR1" s="293"/>
      <c r="DLS1" s="293"/>
      <c r="DLT1" s="293"/>
      <c r="DLU1" s="293"/>
      <c r="DLV1" s="293"/>
      <c r="DLW1" s="293"/>
      <c r="DLX1" s="293"/>
      <c r="DLY1" s="293"/>
      <c r="DLZ1" s="293"/>
      <c r="DMA1" s="293"/>
      <c r="DMB1" s="293"/>
      <c r="DMC1" s="293"/>
      <c r="DMD1" s="293"/>
      <c r="DME1" s="293"/>
      <c r="DMF1" s="293"/>
      <c r="DMG1" s="293"/>
      <c r="DMH1" s="293"/>
      <c r="DMI1" s="293"/>
      <c r="DMJ1" s="293"/>
      <c r="DMK1" s="293"/>
      <c r="DML1" s="293"/>
      <c r="DMM1" s="293"/>
      <c r="DMN1" s="293"/>
      <c r="DMO1" s="293"/>
      <c r="DMP1" s="293"/>
      <c r="DMQ1" s="293"/>
      <c r="DMR1" s="293"/>
      <c r="DMS1" s="293"/>
      <c r="DMT1" s="293"/>
      <c r="DMU1" s="293"/>
      <c r="DMV1" s="293"/>
      <c r="DMW1" s="293"/>
      <c r="DMX1" s="293"/>
      <c r="DMY1" s="293"/>
      <c r="DMZ1" s="293"/>
      <c r="DNA1" s="293"/>
      <c r="DNB1" s="293"/>
      <c r="DNC1" s="293"/>
      <c r="DND1" s="293"/>
      <c r="DNE1" s="293"/>
      <c r="DNF1" s="293"/>
      <c r="DNG1" s="293"/>
      <c r="DNH1" s="293"/>
      <c r="DNI1" s="293"/>
      <c r="DNJ1" s="293"/>
      <c r="DNK1" s="293"/>
      <c r="DNL1" s="293"/>
      <c r="DNM1" s="293"/>
      <c r="DNN1" s="293"/>
      <c r="DNO1" s="293"/>
      <c r="DNP1" s="293"/>
      <c r="DNQ1" s="293"/>
      <c r="DNR1" s="293"/>
      <c r="DNS1" s="293"/>
      <c r="DNT1" s="293"/>
      <c r="DNU1" s="293"/>
      <c r="DNV1" s="293"/>
      <c r="DNW1" s="293"/>
      <c r="DNX1" s="293"/>
      <c r="DNY1" s="293"/>
      <c r="DNZ1" s="293"/>
      <c r="DOA1" s="293"/>
      <c r="DOB1" s="293"/>
      <c r="DOC1" s="293"/>
      <c r="DOD1" s="293"/>
      <c r="DOE1" s="293"/>
      <c r="DOF1" s="293"/>
      <c r="DOG1" s="293"/>
      <c r="DOH1" s="293"/>
      <c r="DOI1" s="293"/>
      <c r="DOJ1" s="293"/>
      <c r="DOK1" s="293"/>
      <c r="DOL1" s="293"/>
      <c r="DOM1" s="293"/>
      <c r="DON1" s="293"/>
      <c r="DOO1" s="293"/>
      <c r="DOP1" s="293"/>
      <c r="DOQ1" s="293"/>
      <c r="DOR1" s="293"/>
      <c r="DOS1" s="293"/>
      <c r="DOT1" s="293"/>
      <c r="DOU1" s="293"/>
      <c r="DOV1" s="293"/>
      <c r="DOW1" s="293"/>
      <c r="DOX1" s="293"/>
      <c r="DOY1" s="293"/>
      <c r="DOZ1" s="293"/>
      <c r="DPA1" s="293"/>
      <c r="DPB1" s="293"/>
      <c r="DPC1" s="293"/>
      <c r="DPD1" s="293"/>
      <c r="DPE1" s="293"/>
      <c r="DPF1" s="293"/>
      <c r="DPG1" s="293"/>
      <c r="DPH1" s="293"/>
      <c r="DPI1" s="293"/>
      <c r="DPJ1" s="293"/>
      <c r="DPK1" s="293"/>
      <c r="DPL1" s="293"/>
      <c r="DPM1" s="293"/>
      <c r="DPN1" s="293"/>
      <c r="DPO1" s="293"/>
      <c r="DPP1" s="293"/>
      <c r="DPQ1" s="293"/>
      <c r="DPR1" s="293"/>
      <c r="DPS1" s="293"/>
      <c r="DPT1" s="293"/>
      <c r="DPU1" s="293"/>
      <c r="DPV1" s="293"/>
      <c r="DPW1" s="293"/>
      <c r="DPX1" s="293"/>
      <c r="DPY1" s="293"/>
      <c r="DPZ1" s="293"/>
      <c r="DQA1" s="293"/>
      <c r="DQB1" s="293"/>
      <c r="DQC1" s="293"/>
      <c r="DQD1" s="293"/>
      <c r="DQE1" s="293"/>
      <c r="DQF1" s="293"/>
      <c r="DQG1" s="293"/>
      <c r="DQH1" s="293"/>
      <c r="DQI1" s="293"/>
      <c r="DQJ1" s="293"/>
      <c r="DQK1" s="293"/>
      <c r="DQL1" s="293"/>
      <c r="DQM1" s="293"/>
      <c r="DQN1" s="293"/>
      <c r="DQO1" s="293"/>
      <c r="DQP1" s="293"/>
      <c r="DQQ1" s="293"/>
      <c r="DQR1" s="293"/>
      <c r="DQS1" s="293"/>
      <c r="DQT1" s="293"/>
      <c r="DQU1" s="293"/>
      <c r="DQV1" s="293"/>
      <c r="DQW1" s="293"/>
      <c r="DQX1" s="293"/>
      <c r="DQY1" s="293"/>
      <c r="DQZ1" s="293"/>
      <c r="DRA1" s="293"/>
      <c r="DRB1" s="293"/>
      <c r="DRC1" s="293"/>
      <c r="DRD1" s="293"/>
      <c r="DRE1" s="293"/>
      <c r="DRF1" s="293"/>
      <c r="DRG1" s="293"/>
      <c r="DRH1" s="293"/>
      <c r="DRI1" s="293"/>
      <c r="DRJ1" s="293"/>
      <c r="DRK1" s="293"/>
      <c r="DRL1" s="293"/>
      <c r="DRM1" s="293"/>
      <c r="DRN1" s="293"/>
      <c r="DRO1" s="293"/>
      <c r="DRP1" s="293"/>
      <c r="DRQ1" s="293"/>
      <c r="DRR1" s="293"/>
      <c r="DRS1" s="293"/>
      <c r="DRT1" s="293"/>
      <c r="DRU1" s="293"/>
      <c r="DRV1" s="293"/>
      <c r="DRW1" s="293"/>
      <c r="DRX1" s="293"/>
      <c r="DRY1" s="293"/>
      <c r="DRZ1" s="293"/>
      <c r="DSA1" s="293"/>
      <c r="DSB1" s="293"/>
      <c r="DSC1" s="293"/>
      <c r="DSD1" s="293"/>
      <c r="DSE1" s="293"/>
      <c r="DSF1" s="293"/>
      <c r="DSG1" s="293"/>
      <c r="DSH1" s="293"/>
      <c r="DSI1" s="293"/>
      <c r="DSJ1" s="293"/>
      <c r="DSK1" s="293"/>
      <c r="DSL1" s="293"/>
      <c r="DSM1" s="293"/>
      <c r="DSN1" s="293"/>
      <c r="DSO1" s="293"/>
      <c r="DSP1" s="293"/>
      <c r="DSQ1" s="293"/>
      <c r="DSR1" s="293"/>
      <c r="DSS1" s="293"/>
      <c r="DST1" s="293"/>
      <c r="DSU1" s="293"/>
      <c r="DSV1" s="293"/>
      <c r="DSW1" s="293"/>
      <c r="DSX1" s="293"/>
      <c r="DSY1" s="293"/>
      <c r="DSZ1" s="293"/>
      <c r="DTA1" s="293"/>
      <c r="DTB1" s="293"/>
      <c r="DTC1" s="293"/>
      <c r="DTD1" s="293"/>
      <c r="DTE1" s="293"/>
      <c r="DTF1" s="293"/>
      <c r="DTG1" s="293"/>
      <c r="DTH1" s="293"/>
      <c r="DTI1" s="293"/>
      <c r="DTJ1" s="293"/>
      <c r="DTK1" s="293"/>
      <c r="DTL1" s="293"/>
      <c r="DTM1" s="293"/>
      <c r="DTN1" s="293"/>
      <c r="DTO1" s="293"/>
      <c r="DTP1" s="293"/>
      <c r="DTQ1" s="293"/>
      <c r="DTR1" s="293"/>
      <c r="DTS1" s="293"/>
      <c r="DTT1" s="293"/>
      <c r="DTU1" s="293"/>
      <c r="DTV1" s="293"/>
      <c r="DTW1" s="293"/>
      <c r="DTX1" s="293"/>
      <c r="DTY1" s="293"/>
      <c r="DTZ1" s="293"/>
      <c r="DUA1" s="293"/>
      <c r="DUB1" s="293"/>
      <c r="DUC1" s="293"/>
      <c r="DUD1" s="293"/>
      <c r="DUE1" s="293"/>
      <c r="DUF1" s="293"/>
      <c r="DUG1" s="293"/>
      <c r="DUH1" s="293"/>
      <c r="DUI1" s="293"/>
      <c r="DUJ1" s="293"/>
      <c r="DUK1" s="293"/>
      <c r="DUL1" s="293"/>
      <c r="DUM1" s="293"/>
      <c r="DUN1" s="293"/>
      <c r="DUO1" s="293"/>
      <c r="DUP1" s="293"/>
      <c r="DUQ1" s="293"/>
      <c r="DUR1" s="293"/>
      <c r="DUS1" s="293"/>
      <c r="DUT1" s="293"/>
      <c r="DUU1" s="293"/>
      <c r="DUV1" s="293"/>
      <c r="DUW1" s="293"/>
      <c r="DUX1" s="293"/>
      <c r="DUY1" s="293"/>
      <c r="DUZ1" s="293"/>
      <c r="DVA1" s="293"/>
      <c r="DVB1" s="293"/>
      <c r="DVC1" s="293"/>
      <c r="DVD1" s="293"/>
      <c r="DVE1" s="293"/>
      <c r="DVF1" s="293"/>
      <c r="DVG1" s="293"/>
      <c r="DVH1" s="293"/>
      <c r="DVI1" s="293"/>
      <c r="DVJ1" s="293"/>
      <c r="DVK1" s="293"/>
      <c r="DVL1" s="293"/>
      <c r="DVM1" s="293"/>
      <c r="DVN1" s="293"/>
      <c r="DVO1" s="293"/>
      <c r="DVP1" s="293"/>
      <c r="DVQ1" s="293"/>
      <c r="DVR1" s="293"/>
      <c r="DVS1" s="293"/>
      <c r="DVT1" s="293"/>
      <c r="DVU1" s="293"/>
      <c r="DVV1" s="293"/>
      <c r="DVW1" s="293"/>
      <c r="DVX1" s="293"/>
      <c r="DVY1" s="293"/>
      <c r="DVZ1" s="293"/>
      <c r="DWA1" s="293"/>
      <c r="DWB1" s="293"/>
      <c r="DWC1" s="293"/>
      <c r="DWD1" s="293"/>
      <c r="DWE1" s="293"/>
      <c r="DWF1" s="293"/>
      <c r="DWG1" s="293"/>
      <c r="DWH1" s="293"/>
      <c r="DWI1" s="293"/>
      <c r="DWJ1" s="293"/>
      <c r="DWK1" s="293"/>
      <c r="DWL1" s="293"/>
      <c r="DWM1" s="293"/>
      <c r="DWN1" s="293"/>
      <c r="DWO1" s="293"/>
      <c r="DWP1" s="293"/>
      <c r="DWQ1" s="293"/>
      <c r="DWR1" s="293"/>
      <c r="DWS1" s="293"/>
      <c r="DWT1" s="293"/>
      <c r="DWU1" s="293"/>
      <c r="DWV1" s="293"/>
      <c r="DWW1" s="293"/>
      <c r="DWX1" s="293"/>
      <c r="DWY1" s="293"/>
      <c r="DWZ1" s="293"/>
      <c r="DXA1" s="293"/>
      <c r="DXB1" s="293"/>
      <c r="DXC1" s="293"/>
      <c r="DXD1" s="293"/>
      <c r="DXE1" s="293"/>
      <c r="DXF1" s="293"/>
      <c r="DXG1" s="293"/>
      <c r="DXH1" s="293"/>
      <c r="DXI1" s="293"/>
      <c r="DXJ1" s="293"/>
      <c r="DXK1" s="293"/>
      <c r="DXL1" s="293"/>
      <c r="DXM1" s="293"/>
      <c r="DXN1" s="293"/>
      <c r="DXO1" s="293"/>
      <c r="DXP1" s="293"/>
      <c r="DXQ1" s="293"/>
      <c r="DXR1" s="293"/>
      <c r="DXS1" s="293"/>
      <c r="DXT1" s="293"/>
      <c r="DXU1" s="293"/>
      <c r="DXV1" s="293"/>
      <c r="DXW1" s="293"/>
      <c r="DXX1" s="293"/>
      <c r="DXY1" s="293"/>
      <c r="DXZ1" s="293"/>
      <c r="DYA1" s="293"/>
      <c r="DYB1" s="293"/>
      <c r="DYC1" s="293"/>
      <c r="DYD1" s="293"/>
      <c r="DYE1" s="293"/>
      <c r="DYF1" s="293"/>
      <c r="DYG1" s="293"/>
      <c r="DYH1" s="293"/>
      <c r="DYI1" s="293"/>
      <c r="DYJ1" s="293"/>
      <c r="DYK1" s="293"/>
      <c r="DYL1" s="293"/>
      <c r="DYM1" s="293"/>
      <c r="DYN1" s="293"/>
      <c r="DYO1" s="293"/>
      <c r="DYP1" s="293"/>
      <c r="DYQ1" s="293"/>
      <c r="DYR1" s="293"/>
      <c r="DYS1" s="293"/>
      <c r="DYT1" s="293"/>
      <c r="DYU1" s="293"/>
      <c r="DYV1" s="293"/>
      <c r="DYW1" s="293"/>
      <c r="DYX1" s="293"/>
      <c r="DYY1" s="293"/>
      <c r="DYZ1" s="293"/>
      <c r="DZA1" s="293"/>
      <c r="DZB1" s="293"/>
      <c r="DZC1" s="293"/>
      <c r="DZD1" s="293"/>
      <c r="DZE1" s="293"/>
      <c r="DZF1" s="293"/>
      <c r="DZG1" s="293"/>
      <c r="DZH1" s="293"/>
      <c r="DZI1" s="293"/>
      <c r="DZJ1" s="293"/>
      <c r="DZK1" s="293"/>
      <c r="DZL1" s="293"/>
      <c r="DZM1" s="293"/>
      <c r="DZN1" s="293"/>
      <c r="DZO1" s="293"/>
      <c r="DZP1" s="293"/>
      <c r="DZQ1" s="293"/>
      <c r="DZR1" s="293"/>
      <c r="DZS1" s="293"/>
      <c r="DZT1" s="293"/>
      <c r="DZU1" s="293"/>
      <c r="DZV1" s="293"/>
      <c r="DZW1" s="293"/>
      <c r="DZX1" s="293"/>
      <c r="DZY1" s="293"/>
      <c r="DZZ1" s="293"/>
      <c r="EAA1" s="293"/>
      <c r="EAB1" s="293"/>
      <c r="EAC1" s="293"/>
      <c r="EAD1" s="293"/>
      <c r="EAE1" s="293"/>
      <c r="EAF1" s="293"/>
      <c r="EAG1" s="293"/>
      <c r="EAH1" s="293"/>
      <c r="EAI1" s="293"/>
      <c r="EAJ1" s="293"/>
      <c r="EAK1" s="293"/>
      <c r="EAL1" s="293"/>
      <c r="EAM1" s="293"/>
      <c r="EAN1" s="293"/>
      <c r="EAO1" s="293"/>
      <c r="EAP1" s="293"/>
      <c r="EAQ1" s="293"/>
      <c r="EAR1" s="293"/>
      <c r="EAS1" s="293"/>
      <c r="EAT1" s="293"/>
      <c r="EAU1" s="293"/>
      <c r="EAV1" s="293"/>
      <c r="EAW1" s="293"/>
      <c r="EAX1" s="293"/>
      <c r="EAY1" s="293"/>
      <c r="EAZ1" s="293"/>
      <c r="EBA1" s="293"/>
      <c r="EBB1" s="293"/>
      <c r="EBC1" s="293"/>
      <c r="EBD1" s="293"/>
      <c r="EBE1" s="293"/>
      <c r="EBF1" s="293"/>
      <c r="EBG1" s="293"/>
      <c r="EBH1" s="293"/>
      <c r="EBI1" s="293"/>
      <c r="EBJ1" s="293"/>
      <c r="EBK1" s="293"/>
      <c r="EBL1" s="293"/>
      <c r="EBM1" s="293"/>
      <c r="EBN1" s="293"/>
      <c r="EBO1" s="293"/>
      <c r="EBP1" s="293"/>
      <c r="EBQ1" s="293"/>
      <c r="EBR1" s="293"/>
      <c r="EBS1" s="293"/>
      <c r="EBT1" s="293"/>
      <c r="EBU1" s="293"/>
      <c r="EBV1" s="293"/>
      <c r="EBW1" s="293"/>
      <c r="EBX1" s="293"/>
      <c r="EBY1" s="293"/>
      <c r="EBZ1" s="293"/>
      <c r="ECA1" s="293"/>
      <c r="ECB1" s="293"/>
      <c r="ECC1" s="293"/>
      <c r="ECD1" s="293"/>
      <c r="ECE1" s="293"/>
      <c r="ECF1" s="293"/>
      <c r="ECG1" s="293"/>
      <c r="ECH1" s="293"/>
      <c r="ECI1" s="293"/>
      <c r="ECJ1" s="293"/>
      <c r="ECK1" s="293"/>
      <c r="ECL1" s="293"/>
      <c r="ECM1" s="293"/>
      <c r="ECN1" s="293"/>
      <c r="ECO1" s="293"/>
      <c r="ECP1" s="293"/>
      <c r="ECQ1" s="293"/>
      <c r="ECR1" s="293"/>
      <c r="ECS1" s="293"/>
      <c r="ECT1" s="293"/>
      <c r="ECU1" s="293"/>
      <c r="ECV1" s="293"/>
      <c r="ECW1" s="293"/>
      <c r="ECX1" s="293"/>
      <c r="ECY1" s="293"/>
      <c r="ECZ1" s="293"/>
      <c r="EDA1" s="293"/>
      <c r="EDB1" s="293"/>
      <c r="EDC1" s="293"/>
      <c r="EDD1" s="293"/>
      <c r="EDE1" s="293"/>
      <c r="EDF1" s="293"/>
      <c r="EDG1" s="293"/>
      <c r="EDH1" s="293"/>
      <c r="EDI1" s="293"/>
      <c r="EDJ1" s="293"/>
      <c r="EDK1" s="293"/>
      <c r="EDL1" s="293"/>
      <c r="EDM1" s="293"/>
      <c r="EDN1" s="293"/>
      <c r="EDO1" s="293"/>
      <c r="EDP1" s="293"/>
      <c r="EDQ1" s="293"/>
      <c r="EDR1" s="293"/>
      <c r="EDS1" s="293"/>
      <c r="EDT1" s="293"/>
      <c r="EDU1" s="293"/>
      <c r="EDV1" s="293"/>
      <c r="EDW1" s="293"/>
      <c r="EDX1" s="293"/>
      <c r="EDY1" s="293"/>
      <c r="EDZ1" s="293"/>
      <c r="EEA1" s="293"/>
      <c r="EEB1" s="293"/>
      <c r="EEC1" s="293"/>
      <c r="EED1" s="293"/>
      <c r="EEE1" s="293"/>
      <c r="EEF1" s="293"/>
      <c r="EEG1" s="293"/>
      <c r="EEH1" s="293"/>
      <c r="EEI1" s="293"/>
      <c r="EEJ1" s="293"/>
      <c r="EEK1" s="293"/>
      <c r="EEL1" s="293"/>
      <c r="EEM1" s="293"/>
      <c r="EEN1" s="293"/>
      <c r="EEO1" s="293"/>
      <c r="EEP1" s="293"/>
      <c r="EEQ1" s="293"/>
      <c r="EER1" s="293"/>
      <c r="EES1" s="293"/>
      <c r="EET1" s="293"/>
      <c r="EEU1" s="293"/>
      <c r="EEV1" s="293"/>
      <c r="EEW1" s="293"/>
      <c r="EEX1" s="293"/>
      <c r="EEY1" s="293"/>
      <c r="EEZ1" s="293"/>
      <c r="EFA1" s="293"/>
      <c r="EFB1" s="293"/>
      <c r="EFC1" s="293"/>
      <c r="EFD1" s="293"/>
      <c r="EFE1" s="293"/>
      <c r="EFF1" s="293"/>
      <c r="EFG1" s="293"/>
      <c r="EFH1" s="293"/>
      <c r="EFI1" s="293"/>
      <c r="EFJ1" s="293"/>
      <c r="EFK1" s="293"/>
      <c r="EFL1" s="293"/>
      <c r="EFM1" s="293"/>
      <c r="EFN1" s="293"/>
      <c r="EFO1" s="293"/>
      <c r="EFP1" s="293"/>
      <c r="EFQ1" s="293"/>
      <c r="EFR1" s="293"/>
      <c r="EFS1" s="293"/>
      <c r="EFT1" s="293"/>
      <c r="EFU1" s="293"/>
      <c r="EFV1" s="293"/>
      <c r="EFW1" s="293"/>
      <c r="EFX1" s="293"/>
      <c r="EFY1" s="293"/>
      <c r="EFZ1" s="293"/>
      <c r="EGA1" s="293"/>
      <c r="EGB1" s="293"/>
      <c r="EGC1" s="293"/>
      <c r="EGD1" s="293"/>
      <c r="EGE1" s="293"/>
      <c r="EGF1" s="293"/>
      <c r="EGG1" s="293"/>
      <c r="EGH1" s="293"/>
      <c r="EGI1" s="293"/>
      <c r="EGJ1" s="293"/>
      <c r="EGK1" s="293"/>
      <c r="EGL1" s="293"/>
      <c r="EGM1" s="293"/>
      <c r="EGN1" s="293"/>
      <c r="EGO1" s="293"/>
      <c r="EGP1" s="293"/>
      <c r="EGQ1" s="293"/>
      <c r="EGR1" s="293"/>
      <c r="EGS1" s="293"/>
      <c r="EGT1" s="293"/>
      <c r="EGU1" s="293"/>
      <c r="EGV1" s="293"/>
      <c r="EGW1" s="293"/>
      <c r="EGX1" s="293"/>
      <c r="EGY1" s="293"/>
      <c r="EGZ1" s="293"/>
      <c r="EHA1" s="293"/>
      <c r="EHB1" s="293"/>
      <c r="EHC1" s="293"/>
      <c r="EHD1" s="293"/>
      <c r="EHE1" s="293"/>
      <c r="EHF1" s="293"/>
      <c r="EHG1" s="293"/>
      <c r="EHH1" s="293"/>
      <c r="EHI1" s="293"/>
      <c r="EHJ1" s="293"/>
      <c r="EHK1" s="293"/>
      <c r="EHL1" s="293"/>
      <c r="EHM1" s="293"/>
      <c r="EHN1" s="293"/>
      <c r="EHO1" s="293"/>
      <c r="EHP1" s="293"/>
      <c r="EHQ1" s="293"/>
      <c r="EHR1" s="293"/>
      <c r="EHS1" s="293"/>
      <c r="EHT1" s="293"/>
      <c r="EHU1" s="293"/>
      <c r="EHV1" s="293"/>
      <c r="EHW1" s="293"/>
      <c r="EHX1" s="293"/>
      <c r="EHY1" s="293"/>
      <c r="EHZ1" s="293"/>
      <c r="EIA1" s="293"/>
      <c r="EIB1" s="293"/>
      <c r="EIC1" s="293"/>
      <c r="EID1" s="293"/>
      <c r="EIE1" s="293"/>
      <c r="EIF1" s="293"/>
      <c r="EIG1" s="293"/>
      <c r="EIH1" s="293"/>
      <c r="EII1" s="293"/>
      <c r="EIJ1" s="293"/>
      <c r="EIK1" s="293"/>
      <c r="EIL1" s="293"/>
      <c r="EIM1" s="293"/>
      <c r="EIN1" s="293"/>
      <c r="EIO1" s="293"/>
      <c r="EIP1" s="293"/>
      <c r="EIQ1" s="293"/>
      <c r="EIR1" s="293"/>
      <c r="EIS1" s="293"/>
      <c r="EIT1" s="293"/>
      <c r="EIU1" s="293"/>
      <c r="EIV1" s="293"/>
      <c r="EIW1" s="293"/>
      <c r="EIX1" s="293"/>
      <c r="EIY1" s="293"/>
      <c r="EIZ1" s="293"/>
      <c r="EJA1" s="293"/>
      <c r="EJB1" s="293"/>
      <c r="EJC1" s="293"/>
      <c r="EJD1" s="293"/>
      <c r="EJE1" s="293"/>
      <c r="EJF1" s="293"/>
      <c r="EJG1" s="293"/>
      <c r="EJH1" s="293"/>
      <c r="EJI1" s="293"/>
      <c r="EJJ1" s="293"/>
      <c r="EJK1" s="293"/>
      <c r="EJL1" s="293"/>
      <c r="EJM1" s="293"/>
      <c r="EJN1" s="293"/>
      <c r="EJO1" s="293"/>
      <c r="EJP1" s="293"/>
      <c r="EJQ1" s="293"/>
      <c r="EJR1" s="293"/>
      <c r="EJS1" s="293"/>
      <c r="EJT1" s="293"/>
      <c r="EJU1" s="293"/>
      <c r="EJV1" s="293"/>
      <c r="EJW1" s="293"/>
      <c r="EJX1" s="293"/>
      <c r="EJY1" s="293"/>
      <c r="EJZ1" s="293"/>
      <c r="EKA1" s="293"/>
      <c r="EKB1" s="293"/>
      <c r="EKC1" s="293"/>
      <c r="EKD1" s="293"/>
      <c r="EKE1" s="293"/>
      <c r="EKF1" s="293"/>
      <c r="EKG1" s="293"/>
      <c r="EKH1" s="293"/>
      <c r="EKI1" s="293"/>
      <c r="EKJ1" s="293"/>
      <c r="EKK1" s="293"/>
      <c r="EKL1" s="293"/>
      <c r="EKM1" s="293"/>
      <c r="EKN1" s="293"/>
      <c r="EKO1" s="293"/>
      <c r="EKP1" s="293"/>
      <c r="EKQ1" s="293"/>
      <c r="EKR1" s="293"/>
      <c r="EKS1" s="293"/>
      <c r="EKT1" s="293"/>
      <c r="EKU1" s="293"/>
      <c r="EKV1" s="293"/>
      <c r="EKW1" s="293"/>
      <c r="EKX1" s="293"/>
      <c r="EKY1" s="293"/>
      <c r="EKZ1" s="293"/>
      <c r="ELA1" s="293"/>
      <c r="ELB1" s="293"/>
      <c r="ELC1" s="293"/>
      <c r="ELD1" s="293"/>
      <c r="ELE1" s="293"/>
      <c r="ELF1" s="293"/>
      <c r="ELG1" s="293"/>
      <c r="ELH1" s="293"/>
      <c r="ELI1" s="293"/>
      <c r="ELJ1" s="293"/>
      <c r="ELK1" s="293"/>
      <c r="ELL1" s="293"/>
      <c r="ELM1" s="293"/>
      <c r="ELN1" s="293"/>
      <c r="ELO1" s="293"/>
      <c r="ELP1" s="293"/>
      <c r="ELQ1" s="293"/>
      <c r="ELR1" s="293"/>
      <c r="ELS1" s="293"/>
      <c r="ELT1" s="293"/>
      <c r="ELU1" s="293"/>
      <c r="ELV1" s="293"/>
      <c r="ELW1" s="293"/>
      <c r="ELX1" s="293"/>
      <c r="ELY1" s="293"/>
      <c r="ELZ1" s="293"/>
      <c r="EMA1" s="293"/>
      <c r="EMB1" s="293"/>
      <c r="EMC1" s="293"/>
      <c r="EMD1" s="293"/>
      <c r="EME1" s="293"/>
      <c r="EMF1" s="293"/>
      <c r="EMG1" s="293"/>
      <c r="EMH1" s="293"/>
      <c r="EMI1" s="293"/>
      <c r="EMJ1" s="293"/>
      <c r="EMK1" s="293"/>
      <c r="EML1" s="293"/>
      <c r="EMM1" s="293"/>
      <c r="EMN1" s="293"/>
      <c r="EMO1" s="293"/>
      <c r="EMP1" s="293"/>
      <c r="EMQ1" s="293"/>
      <c r="EMR1" s="293"/>
      <c r="EMS1" s="293"/>
      <c r="EMT1" s="293"/>
      <c r="EMU1" s="293"/>
      <c r="EMV1" s="293"/>
      <c r="EMW1" s="293"/>
      <c r="EMX1" s="293"/>
      <c r="EMY1" s="293"/>
      <c r="EMZ1" s="293"/>
      <c r="ENA1" s="293"/>
      <c r="ENB1" s="293"/>
      <c r="ENC1" s="293"/>
      <c r="END1" s="293"/>
      <c r="ENE1" s="293"/>
      <c r="ENF1" s="293"/>
      <c r="ENG1" s="293"/>
      <c r="ENH1" s="293"/>
      <c r="ENI1" s="293"/>
      <c r="ENJ1" s="293"/>
      <c r="ENK1" s="293"/>
      <c r="ENL1" s="293"/>
      <c r="ENM1" s="293"/>
      <c r="ENN1" s="293"/>
      <c r="ENO1" s="293"/>
      <c r="ENP1" s="293"/>
      <c r="ENQ1" s="293"/>
      <c r="ENR1" s="293"/>
      <c r="ENS1" s="293"/>
      <c r="ENT1" s="293"/>
      <c r="ENU1" s="293"/>
      <c r="ENV1" s="293"/>
      <c r="ENW1" s="293"/>
      <c r="ENX1" s="293"/>
      <c r="ENY1" s="293"/>
      <c r="ENZ1" s="293"/>
      <c r="EOA1" s="293"/>
      <c r="EOB1" s="293"/>
      <c r="EOC1" s="293"/>
      <c r="EOD1" s="293"/>
      <c r="EOE1" s="293"/>
      <c r="EOF1" s="293"/>
      <c r="EOG1" s="293"/>
      <c r="EOH1" s="293"/>
      <c r="EOI1" s="293"/>
      <c r="EOJ1" s="293"/>
      <c r="EOK1" s="293"/>
      <c r="EOL1" s="293"/>
      <c r="EOM1" s="293"/>
      <c r="EON1" s="293"/>
      <c r="EOO1" s="293"/>
      <c r="EOP1" s="293"/>
      <c r="EOQ1" s="293"/>
      <c r="EOR1" s="293"/>
      <c r="EOS1" s="293"/>
      <c r="EOT1" s="293"/>
      <c r="EOU1" s="293"/>
      <c r="EOV1" s="293"/>
      <c r="EOW1" s="293"/>
      <c r="EOX1" s="293"/>
      <c r="EOY1" s="293"/>
      <c r="EOZ1" s="293"/>
      <c r="EPA1" s="293"/>
      <c r="EPB1" s="293"/>
      <c r="EPC1" s="293"/>
      <c r="EPD1" s="293"/>
      <c r="EPE1" s="293"/>
      <c r="EPF1" s="293"/>
      <c r="EPG1" s="293"/>
      <c r="EPH1" s="293"/>
      <c r="EPI1" s="293"/>
      <c r="EPJ1" s="293"/>
      <c r="EPK1" s="293"/>
      <c r="EPL1" s="293"/>
      <c r="EPM1" s="293"/>
      <c r="EPN1" s="293"/>
      <c r="EPO1" s="293"/>
      <c r="EPP1" s="293"/>
      <c r="EPQ1" s="293"/>
      <c r="EPR1" s="293"/>
      <c r="EPS1" s="293"/>
      <c r="EPT1" s="293"/>
      <c r="EPU1" s="293"/>
      <c r="EPV1" s="293"/>
      <c r="EPW1" s="293"/>
      <c r="EPX1" s="293"/>
      <c r="EPY1" s="293"/>
      <c r="EPZ1" s="293"/>
      <c r="EQA1" s="293"/>
      <c r="EQB1" s="293"/>
      <c r="EQC1" s="293"/>
      <c r="EQD1" s="293"/>
      <c r="EQE1" s="293"/>
      <c r="EQF1" s="293"/>
      <c r="EQG1" s="293"/>
      <c r="EQH1" s="293"/>
      <c r="EQI1" s="293"/>
      <c r="EQJ1" s="293"/>
      <c r="EQK1" s="293"/>
      <c r="EQL1" s="293"/>
      <c r="EQM1" s="293"/>
      <c r="EQN1" s="293"/>
      <c r="EQO1" s="293"/>
      <c r="EQP1" s="293"/>
      <c r="EQQ1" s="293"/>
      <c r="EQR1" s="293"/>
      <c r="EQS1" s="293"/>
      <c r="EQT1" s="293"/>
      <c r="EQU1" s="293"/>
      <c r="EQV1" s="293"/>
      <c r="EQW1" s="293"/>
      <c r="EQX1" s="293"/>
      <c r="EQY1" s="293"/>
      <c r="EQZ1" s="293"/>
      <c r="ERA1" s="293"/>
      <c r="ERB1" s="293"/>
      <c r="ERC1" s="293"/>
      <c r="ERD1" s="293"/>
      <c r="ERE1" s="293"/>
      <c r="ERF1" s="293"/>
      <c r="ERG1" s="293"/>
      <c r="ERH1" s="293"/>
      <c r="ERI1" s="293"/>
      <c r="ERJ1" s="293"/>
      <c r="ERK1" s="293"/>
      <c r="ERL1" s="293"/>
      <c r="ERM1" s="293"/>
      <c r="ERN1" s="293"/>
      <c r="ERO1" s="293"/>
      <c r="ERP1" s="293"/>
      <c r="ERQ1" s="293"/>
      <c r="ERR1" s="293"/>
      <c r="ERS1" s="293"/>
      <c r="ERT1" s="293"/>
      <c r="ERU1" s="293"/>
      <c r="ERV1" s="293"/>
      <c r="ERW1" s="293"/>
      <c r="ERX1" s="293"/>
      <c r="ERY1" s="293"/>
      <c r="ERZ1" s="293"/>
      <c r="ESA1" s="293"/>
      <c r="ESB1" s="293"/>
      <c r="ESC1" s="293"/>
      <c r="ESD1" s="293"/>
      <c r="ESE1" s="293"/>
      <c r="ESF1" s="293"/>
      <c r="ESG1" s="293"/>
      <c r="ESH1" s="293"/>
      <c r="ESI1" s="293"/>
      <c r="ESJ1" s="293"/>
      <c r="ESK1" s="293"/>
      <c r="ESL1" s="293"/>
      <c r="ESM1" s="293"/>
      <c r="ESN1" s="293"/>
      <c r="ESO1" s="293"/>
      <c r="ESP1" s="293"/>
      <c r="ESQ1" s="293"/>
      <c r="ESR1" s="293"/>
      <c r="ESS1" s="293"/>
      <c r="EST1" s="293"/>
      <c r="ESU1" s="293"/>
      <c r="ESV1" s="293"/>
      <c r="ESW1" s="293"/>
      <c r="ESX1" s="293"/>
      <c r="ESY1" s="293"/>
      <c r="ESZ1" s="293"/>
      <c r="ETA1" s="293"/>
      <c r="ETB1" s="293"/>
      <c r="ETC1" s="293"/>
      <c r="ETD1" s="293"/>
      <c r="ETE1" s="293"/>
      <c r="ETF1" s="293"/>
      <c r="ETG1" s="293"/>
      <c r="ETH1" s="293"/>
      <c r="ETI1" s="293"/>
      <c r="ETJ1" s="293"/>
      <c r="ETK1" s="293"/>
      <c r="ETL1" s="293"/>
      <c r="ETM1" s="293"/>
      <c r="ETN1" s="293"/>
      <c r="ETO1" s="293"/>
      <c r="ETP1" s="293"/>
      <c r="ETQ1" s="293"/>
      <c r="ETR1" s="293"/>
      <c r="ETS1" s="293"/>
      <c r="ETT1" s="293"/>
      <c r="ETU1" s="293"/>
      <c r="ETV1" s="293"/>
      <c r="ETW1" s="293"/>
      <c r="ETX1" s="293"/>
      <c r="ETY1" s="293"/>
      <c r="ETZ1" s="293"/>
      <c r="EUA1" s="293"/>
      <c r="EUB1" s="293"/>
      <c r="EUC1" s="293"/>
      <c r="EUD1" s="293"/>
      <c r="EUE1" s="293"/>
      <c r="EUF1" s="293"/>
      <c r="EUG1" s="293"/>
      <c r="EUH1" s="293"/>
      <c r="EUI1" s="293"/>
      <c r="EUJ1" s="293"/>
      <c r="EUK1" s="293"/>
      <c r="EUL1" s="293"/>
      <c r="EUM1" s="293"/>
      <c r="EUN1" s="293"/>
      <c r="EUO1" s="293"/>
      <c r="EUP1" s="293"/>
      <c r="EUQ1" s="293"/>
      <c r="EUR1" s="293"/>
      <c r="EUS1" s="293"/>
      <c r="EUT1" s="293"/>
      <c r="EUU1" s="293"/>
      <c r="EUV1" s="293"/>
      <c r="EUW1" s="293"/>
      <c r="EUX1" s="293"/>
      <c r="EUY1" s="293"/>
      <c r="EUZ1" s="293"/>
      <c r="EVA1" s="293"/>
      <c r="EVB1" s="293"/>
      <c r="EVC1" s="293"/>
      <c r="EVD1" s="293"/>
      <c r="EVE1" s="293"/>
      <c r="EVF1" s="293"/>
      <c r="EVG1" s="293"/>
      <c r="EVH1" s="293"/>
      <c r="EVI1" s="293"/>
      <c r="EVJ1" s="293"/>
      <c r="EVK1" s="293"/>
      <c r="EVL1" s="293"/>
      <c r="EVM1" s="293"/>
      <c r="EVN1" s="293"/>
      <c r="EVO1" s="293"/>
      <c r="EVP1" s="293"/>
      <c r="EVQ1" s="293"/>
      <c r="EVR1" s="293"/>
      <c r="EVS1" s="293"/>
      <c r="EVT1" s="293"/>
      <c r="EVU1" s="293"/>
      <c r="EVV1" s="293"/>
      <c r="EVW1" s="293"/>
      <c r="EVX1" s="293"/>
      <c r="EVY1" s="293"/>
      <c r="EVZ1" s="293"/>
      <c r="EWA1" s="293"/>
      <c r="EWB1" s="293"/>
      <c r="EWC1" s="293"/>
      <c r="EWD1" s="293"/>
      <c r="EWE1" s="293"/>
      <c r="EWF1" s="293"/>
      <c r="EWG1" s="293"/>
      <c r="EWH1" s="293"/>
      <c r="EWI1" s="293"/>
      <c r="EWJ1" s="293"/>
      <c r="EWK1" s="293"/>
      <c r="EWL1" s="293"/>
      <c r="EWM1" s="293"/>
      <c r="EWN1" s="293"/>
      <c r="EWO1" s="293"/>
      <c r="EWP1" s="293"/>
      <c r="EWQ1" s="293"/>
      <c r="EWR1" s="293"/>
      <c r="EWS1" s="293"/>
      <c r="EWT1" s="293"/>
      <c r="EWU1" s="293"/>
      <c r="EWV1" s="293"/>
      <c r="EWW1" s="293"/>
      <c r="EWX1" s="293"/>
      <c r="EWY1" s="293"/>
      <c r="EWZ1" s="293"/>
      <c r="EXA1" s="293"/>
      <c r="EXB1" s="293"/>
      <c r="EXC1" s="293"/>
      <c r="EXD1" s="293"/>
      <c r="EXE1" s="293"/>
      <c r="EXF1" s="293"/>
      <c r="EXG1" s="293"/>
      <c r="EXH1" s="293"/>
      <c r="EXI1" s="293"/>
      <c r="EXJ1" s="293"/>
      <c r="EXK1" s="293"/>
      <c r="EXL1" s="293"/>
      <c r="EXM1" s="293"/>
      <c r="EXN1" s="293"/>
      <c r="EXO1" s="293"/>
      <c r="EXP1" s="293"/>
      <c r="EXQ1" s="293"/>
      <c r="EXR1" s="293"/>
      <c r="EXS1" s="293"/>
      <c r="EXT1" s="293"/>
      <c r="EXU1" s="293"/>
      <c r="EXV1" s="293"/>
      <c r="EXW1" s="293"/>
      <c r="EXX1" s="293"/>
      <c r="EXY1" s="293"/>
      <c r="EXZ1" s="293"/>
      <c r="EYA1" s="293"/>
      <c r="EYB1" s="293"/>
      <c r="EYC1" s="293"/>
      <c r="EYD1" s="293"/>
      <c r="EYE1" s="293"/>
      <c r="EYF1" s="293"/>
      <c r="EYG1" s="293"/>
      <c r="EYH1" s="293"/>
      <c r="EYI1" s="293"/>
      <c r="EYJ1" s="293"/>
      <c r="EYK1" s="293"/>
      <c r="EYL1" s="293"/>
      <c r="EYM1" s="293"/>
      <c r="EYN1" s="293"/>
      <c r="EYO1" s="293"/>
      <c r="EYP1" s="293"/>
      <c r="EYQ1" s="293"/>
      <c r="EYR1" s="293"/>
      <c r="EYS1" s="293"/>
      <c r="EYT1" s="293"/>
      <c r="EYU1" s="293"/>
      <c r="EYV1" s="293"/>
      <c r="EYW1" s="293"/>
      <c r="EYX1" s="293"/>
      <c r="EYY1" s="293"/>
      <c r="EYZ1" s="293"/>
      <c r="EZA1" s="293"/>
      <c r="EZB1" s="293"/>
      <c r="EZC1" s="293"/>
      <c r="EZD1" s="293"/>
      <c r="EZE1" s="293"/>
      <c r="EZF1" s="293"/>
      <c r="EZG1" s="293"/>
      <c r="EZH1" s="293"/>
      <c r="EZI1" s="293"/>
      <c r="EZJ1" s="293"/>
      <c r="EZK1" s="293"/>
      <c r="EZL1" s="293"/>
      <c r="EZM1" s="293"/>
      <c r="EZN1" s="293"/>
      <c r="EZO1" s="293"/>
      <c r="EZP1" s="293"/>
      <c r="EZQ1" s="293"/>
      <c r="EZR1" s="293"/>
      <c r="EZS1" s="293"/>
      <c r="EZT1" s="293"/>
      <c r="EZU1" s="293"/>
      <c r="EZV1" s="293"/>
      <c r="EZW1" s="293"/>
      <c r="EZX1" s="293"/>
      <c r="EZY1" s="293"/>
      <c r="EZZ1" s="293"/>
      <c r="FAA1" s="293"/>
      <c r="FAB1" s="293"/>
      <c r="FAC1" s="293"/>
      <c r="FAD1" s="293"/>
      <c r="FAE1" s="293"/>
      <c r="FAF1" s="293"/>
      <c r="FAG1" s="293"/>
      <c r="FAH1" s="293"/>
      <c r="FAI1" s="293"/>
      <c r="FAJ1" s="293"/>
      <c r="FAK1" s="293"/>
      <c r="FAL1" s="293"/>
      <c r="FAM1" s="293"/>
      <c r="FAN1" s="293"/>
      <c r="FAO1" s="293"/>
      <c r="FAP1" s="293"/>
      <c r="FAQ1" s="293"/>
      <c r="FAR1" s="293"/>
      <c r="FAS1" s="293"/>
      <c r="FAT1" s="293"/>
      <c r="FAU1" s="293"/>
      <c r="FAV1" s="293"/>
      <c r="FAW1" s="293"/>
      <c r="FAX1" s="293"/>
      <c r="FAY1" s="293"/>
      <c r="FAZ1" s="293"/>
      <c r="FBA1" s="293"/>
      <c r="FBB1" s="293"/>
      <c r="FBC1" s="293"/>
      <c r="FBD1" s="293"/>
      <c r="FBE1" s="293"/>
      <c r="FBF1" s="293"/>
      <c r="FBG1" s="293"/>
      <c r="FBH1" s="293"/>
      <c r="FBI1" s="293"/>
      <c r="FBJ1" s="293"/>
      <c r="FBK1" s="293"/>
      <c r="FBL1" s="293"/>
      <c r="FBM1" s="293"/>
      <c r="FBN1" s="293"/>
      <c r="FBO1" s="293"/>
      <c r="FBP1" s="293"/>
      <c r="FBQ1" s="293"/>
      <c r="FBR1" s="293"/>
      <c r="FBS1" s="293"/>
      <c r="FBT1" s="293"/>
      <c r="FBU1" s="293"/>
      <c r="FBV1" s="293"/>
      <c r="FBW1" s="293"/>
      <c r="FBX1" s="293"/>
      <c r="FBY1" s="293"/>
      <c r="FBZ1" s="293"/>
      <c r="FCA1" s="293"/>
      <c r="FCB1" s="293"/>
      <c r="FCC1" s="293"/>
      <c r="FCD1" s="293"/>
      <c r="FCE1" s="293"/>
      <c r="FCF1" s="293"/>
      <c r="FCG1" s="293"/>
      <c r="FCH1" s="293"/>
      <c r="FCI1" s="293"/>
      <c r="FCJ1" s="293"/>
      <c r="FCK1" s="293"/>
      <c r="FCL1" s="293"/>
      <c r="FCM1" s="293"/>
      <c r="FCN1" s="293"/>
      <c r="FCO1" s="293"/>
      <c r="FCP1" s="293"/>
      <c r="FCQ1" s="293"/>
      <c r="FCR1" s="293"/>
      <c r="FCS1" s="293"/>
      <c r="FCT1" s="293"/>
      <c r="FCU1" s="293"/>
      <c r="FCV1" s="293"/>
      <c r="FCW1" s="293"/>
      <c r="FCX1" s="293"/>
      <c r="FCY1" s="293"/>
      <c r="FCZ1" s="293"/>
      <c r="FDA1" s="293"/>
      <c r="FDB1" s="293"/>
      <c r="FDC1" s="293"/>
      <c r="FDD1" s="293"/>
      <c r="FDE1" s="293"/>
      <c r="FDF1" s="293"/>
      <c r="FDG1" s="293"/>
      <c r="FDH1" s="293"/>
      <c r="FDI1" s="293"/>
      <c r="FDJ1" s="293"/>
      <c r="FDK1" s="293"/>
      <c r="FDL1" s="293"/>
      <c r="FDM1" s="293"/>
      <c r="FDN1" s="293"/>
      <c r="FDO1" s="293"/>
      <c r="FDP1" s="293"/>
      <c r="FDQ1" s="293"/>
      <c r="FDR1" s="293"/>
      <c r="FDS1" s="293"/>
      <c r="FDT1" s="293"/>
      <c r="FDU1" s="293"/>
      <c r="FDV1" s="293"/>
      <c r="FDW1" s="293"/>
      <c r="FDX1" s="293"/>
      <c r="FDY1" s="293"/>
      <c r="FDZ1" s="293"/>
      <c r="FEA1" s="293"/>
      <c r="FEB1" s="293"/>
      <c r="FEC1" s="293"/>
      <c r="FED1" s="293"/>
      <c r="FEE1" s="293"/>
      <c r="FEF1" s="293"/>
      <c r="FEG1" s="293"/>
      <c r="FEH1" s="293"/>
      <c r="FEI1" s="293"/>
      <c r="FEJ1" s="293"/>
      <c r="FEK1" s="293"/>
      <c r="FEL1" s="293"/>
      <c r="FEM1" s="293"/>
      <c r="FEN1" s="293"/>
      <c r="FEO1" s="293"/>
      <c r="FEP1" s="293"/>
      <c r="FEQ1" s="293"/>
      <c r="FER1" s="293"/>
      <c r="FES1" s="293"/>
      <c r="FET1" s="293"/>
      <c r="FEU1" s="293"/>
      <c r="FEV1" s="293"/>
      <c r="FEW1" s="293"/>
      <c r="FEX1" s="293"/>
      <c r="FEY1" s="293"/>
      <c r="FEZ1" s="293"/>
      <c r="FFA1" s="293"/>
      <c r="FFB1" s="293"/>
      <c r="FFC1" s="293"/>
      <c r="FFD1" s="293"/>
      <c r="FFE1" s="293"/>
      <c r="FFF1" s="293"/>
      <c r="FFG1" s="293"/>
      <c r="FFH1" s="293"/>
      <c r="FFI1" s="293"/>
      <c r="FFJ1" s="293"/>
      <c r="FFK1" s="293"/>
      <c r="FFL1" s="293"/>
      <c r="FFM1" s="293"/>
      <c r="FFN1" s="293"/>
      <c r="FFO1" s="293"/>
      <c r="FFP1" s="293"/>
      <c r="FFQ1" s="293"/>
      <c r="FFR1" s="293"/>
      <c r="FFS1" s="293"/>
      <c r="FFT1" s="293"/>
      <c r="FFU1" s="293"/>
      <c r="FFV1" s="293"/>
      <c r="FFW1" s="293"/>
      <c r="FFX1" s="293"/>
      <c r="FFY1" s="293"/>
      <c r="FFZ1" s="293"/>
      <c r="FGA1" s="293"/>
      <c r="FGB1" s="293"/>
      <c r="FGC1" s="293"/>
      <c r="FGD1" s="293"/>
      <c r="FGE1" s="293"/>
      <c r="FGF1" s="293"/>
      <c r="FGG1" s="293"/>
      <c r="FGH1" s="293"/>
      <c r="FGI1" s="293"/>
      <c r="FGJ1" s="293"/>
      <c r="FGK1" s="293"/>
      <c r="FGL1" s="293"/>
      <c r="FGM1" s="293"/>
      <c r="FGN1" s="293"/>
      <c r="FGO1" s="293"/>
      <c r="FGP1" s="293"/>
      <c r="FGQ1" s="293"/>
      <c r="FGR1" s="293"/>
      <c r="FGS1" s="293"/>
      <c r="FGT1" s="293"/>
      <c r="FGU1" s="293"/>
      <c r="FGV1" s="293"/>
      <c r="FGW1" s="293"/>
      <c r="FGX1" s="293"/>
      <c r="FGY1" s="293"/>
      <c r="FGZ1" s="293"/>
      <c r="FHA1" s="293"/>
      <c r="FHB1" s="293"/>
      <c r="FHC1" s="293"/>
      <c r="FHD1" s="293"/>
      <c r="FHE1" s="293"/>
      <c r="FHF1" s="293"/>
      <c r="FHG1" s="293"/>
      <c r="FHH1" s="293"/>
      <c r="FHI1" s="293"/>
      <c r="FHJ1" s="293"/>
      <c r="FHK1" s="293"/>
      <c r="FHL1" s="293"/>
      <c r="FHM1" s="293"/>
      <c r="FHN1" s="293"/>
      <c r="FHO1" s="293"/>
      <c r="FHP1" s="293"/>
      <c r="FHQ1" s="293"/>
      <c r="FHR1" s="293"/>
      <c r="FHS1" s="293"/>
      <c r="FHT1" s="293"/>
      <c r="FHU1" s="293"/>
      <c r="FHV1" s="293"/>
      <c r="FHW1" s="293"/>
      <c r="FHX1" s="293"/>
      <c r="FHY1" s="293"/>
      <c r="FHZ1" s="293"/>
      <c r="FIA1" s="293"/>
      <c r="FIB1" s="293"/>
      <c r="FIC1" s="293"/>
      <c r="FID1" s="293"/>
      <c r="FIE1" s="293"/>
      <c r="FIF1" s="293"/>
      <c r="FIG1" s="293"/>
      <c r="FIH1" s="293"/>
      <c r="FII1" s="293"/>
      <c r="FIJ1" s="293"/>
      <c r="FIK1" s="293"/>
      <c r="FIL1" s="293"/>
      <c r="FIM1" s="293"/>
      <c r="FIN1" s="293"/>
      <c r="FIO1" s="293"/>
      <c r="FIP1" s="293"/>
      <c r="FIQ1" s="293"/>
      <c r="FIR1" s="293"/>
      <c r="FIS1" s="293"/>
      <c r="FIT1" s="293"/>
      <c r="FIU1" s="293"/>
      <c r="FIV1" s="293"/>
      <c r="FIW1" s="293"/>
      <c r="FIX1" s="293"/>
      <c r="FIY1" s="293"/>
      <c r="FIZ1" s="293"/>
      <c r="FJA1" s="293"/>
      <c r="FJB1" s="293"/>
      <c r="FJC1" s="293"/>
      <c r="FJD1" s="293"/>
      <c r="FJE1" s="293"/>
      <c r="FJF1" s="293"/>
      <c r="FJG1" s="293"/>
      <c r="FJH1" s="293"/>
      <c r="FJI1" s="293"/>
      <c r="FJJ1" s="293"/>
      <c r="FJK1" s="293"/>
      <c r="FJL1" s="293"/>
      <c r="FJM1" s="293"/>
      <c r="FJN1" s="293"/>
      <c r="FJO1" s="293"/>
      <c r="FJP1" s="293"/>
      <c r="FJQ1" s="293"/>
      <c r="FJR1" s="293"/>
      <c r="FJS1" s="293"/>
      <c r="FJT1" s="293"/>
      <c r="FJU1" s="293"/>
      <c r="FJV1" s="293"/>
      <c r="FJW1" s="293"/>
      <c r="FJX1" s="293"/>
      <c r="FJY1" s="293"/>
      <c r="FJZ1" s="293"/>
      <c r="FKA1" s="293"/>
      <c r="FKB1" s="293"/>
      <c r="FKC1" s="293"/>
      <c r="FKD1" s="293"/>
      <c r="FKE1" s="293"/>
      <c r="FKF1" s="293"/>
      <c r="FKG1" s="293"/>
      <c r="FKH1" s="293"/>
      <c r="FKI1" s="293"/>
      <c r="FKJ1" s="293"/>
      <c r="FKK1" s="293"/>
      <c r="FKL1" s="293"/>
      <c r="FKM1" s="293"/>
      <c r="FKN1" s="293"/>
      <c r="FKO1" s="293"/>
      <c r="FKP1" s="293"/>
      <c r="FKQ1" s="293"/>
      <c r="FKR1" s="293"/>
      <c r="FKS1" s="293"/>
      <c r="FKT1" s="293"/>
      <c r="FKU1" s="293"/>
      <c r="FKV1" s="293"/>
      <c r="FKW1" s="293"/>
      <c r="FKX1" s="293"/>
      <c r="FKY1" s="293"/>
      <c r="FKZ1" s="293"/>
      <c r="FLA1" s="293"/>
      <c r="FLB1" s="293"/>
      <c r="FLC1" s="293"/>
      <c r="FLD1" s="293"/>
      <c r="FLE1" s="293"/>
      <c r="FLF1" s="293"/>
      <c r="FLG1" s="293"/>
      <c r="FLH1" s="293"/>
      <c r="FLI1" s="293"/>
      <c r="FLJ1" s="293"/>
      <c r="FLK1" s="293"/>
      <c r="FLL1" s="293"/>
      <c r="FLM1" s="293"/>
      <c r="FLN1" s="293"/>
      <c r="FLO1" s="293"/>
      <c r="FLP1" s="293"/>
      <c r="FLQ1" s="293"/>
      <c r="FLR1" s="293"/>
      <c r="FLS1" s="293"/>
      <c r="FLT1" s="293"/>
      <c r="FLU1" s="293"/>
      <c r="FLV1" s="293"/>
      <c r="FLW1" s="293"/>
      <c r="FLX1" s="293"/>
      <c r="FLY1" s="293"/>
      <c r="FLZ1" s="293"/>
      <c r="FMA1" s="293"/>
      <c r="FMB1" s="293"/>
      <c r="FMC1" s="293"/>
      <c r="FMD1" s="293"/>
      <c r="FME1" s="293"/>
      <c r="FMF1" s="293"/>
      <c r="FMG1" s="293"/>
      <c r="FMH1" s="293"/>
      <c r="FMI1" s="293"/>
      <c r="FMJ1" s="293"/>
      <c r="FMK1" s="293"/>
      <c r="FML1" s="293"/>
      <c r="FMM1" s="293"/>
      <c r="FMN1" s="293"/>
      <c r="FMO1" s="293"/>
      <c r="FMP1" s="293"/>
      <c r="FMQ1" s="293"/>
      <c r="FMR1" s="293"/>
      <c r="FMS1" s="293"/>
      <c r="FMT1" s="293"/>
      <c r="FMU1" s="293"/>
      <c r="FMV1" s="293"/>
      <c r="FMW1" s="293"/>
      <c r="FMX1" s="293"/>
      <c r="FMY1" s="293"/>
      <c r="FMZ1" s="293"/>
      <c r="FNA1" s="293"/>
      <c r="FNB1" s="293"/>
      <c r="FNC1" s="293"/>
      <c r="FND1" s="293"/>
      <c r="FNE1" s="293"/>
      <c r="FNF1" s="293"/>
      <c r="FNG1" s="293"/>
      <c r="FNH1" s="293"/>
      <c r="FNI1" s="293"/>
      <c r="FNJ1" s="293"/>
      <c r="FNK1" s="293"/>
      <c r="FNL1" s="293"/>
      <c r="FNM1" s="293"/>
      <c r="FNN1" s="293"/>
      <c r="FNO1" s="293"/>
      <c r="FNP1" s="293"/>
      <c r="FNQ1" s="293"/>
      <c r="FNR1" s="293"/>
      <c r="FNS1" s="293"/>
      <c r="FNT1" s="293"/>
      <c r="FNU1" s="293"/>
      <c r="FNV1" s="293"/>
      <c r="FNW1" s="293"/>
      <c r="FNX1" s="293"/>
      <c r="FNY1" s="293"/>
      <c r="FNZ1" s="293"/>
      <c r="FOA1" s="293"/>
      <c r="FOB1" s="293"/>
      <c r="FOC1" s="293"/>
      <c r="FOD1" s="293"/>
      <c r="FOE1" s="293"/>
      <c r="FOF1" s="293"/>
      <c r="FOG1" s="293"/>
      <c r="FOH1" s="293"/>
      <c r="FOI1" s="293"/>
      <c r="FOJ1" s="293"/>
      <c r="FOK1" s="293"/>
      <c r="FOL1" s="293"/>
      <c r="FOM1" s="293"/>
      <c r="FON1" s="293"/>
      <c r="FOO1" s="293"/>
      <c r="FOP1" s="293"/>
      <c r="FOQ1" s="293"/>
      <c r="FOR1" s="293"/>
      <c r="FOS1" s="293"/>
      <c r="FOT1" s="293"/>
      <c r="FOU1" s="293"/>
      <c r="FOV1" s="293"/>
      <c r="FOW1" s="293"/>
      <c r="FOX1" s="293"/>
      <c r="FOY1" s="293"/>
      <c r="FOZ1" s="293"/>
      <c r="FPA1" s="293"/>
      <c r="FPB1" s="293"/>
      <c r="FPC1" s="293"/>
      <c r="FPD1" s="293"/>
      <c r="FPE1" s="293"/>
      <c r="FPF1" s="293"/>
      <c r="FPG1" s="293"/>
      <c r="FPH1" s="293"/>
      <c r="FPI1" s="293"/>
      <c r="FPJ1" s="293"/>
      <c r="FPK1" s="293"/>
      <c r="FPL1" s="293"/>
      <c r="FPM1" s="293"/>
      <c r="FPN1" s="293"/>
      <c r="FPO1" s="293"/>
      <c r="FPP1" s="293"/>
      <c r="FPQ1" s="293"/>
      <c r="FPR1" s="293"/>
      <c r="FPS1" s="293"/>
      <c r="FPT1" s="293"/>
      <c r="FPU1" s="293"/>
      <c r="FPV1" s="293"/>
      <c r="FPW1" s="293"/>
      <c r="FPX1" s="293"/>
      <c r="FPY1" s="293"/>
      <c r="FPZ1" s="293"/>
      <c r="FQA1" s="293"/>
      <c r="FQB1" s="293"/>
      <c r="FQC1" s="293"/>
      <c r="FQD1" s="293"/>
      <c r="FQE1" s="293"/>
      <c r="FQF1" s="293"/>
      <c r="FQG1" s="293"/>
      <c r="FQH1" s="293"/>
      <c r="FQI1" s="293"/>
      <c r="FQJ1" s="293"/>
      <c r="FQK1" s="293"/>
      <c r="FQL1" s="293"/>
      <c r="FQM1" s="293"/>
      <c r="FQN1" s="293"/>
      <c r="FQO1" s="293"/>
      <c r="FQP1" s="293"/>
      <c r="FQQ1" s="293"/>
      <c r="FQR1" s="293"/>
      <c r="FQS1" s="293"/>
      <c r="FQT1" s="293"/>
      <c r="FQU1" s="293"/>
      <c r="FQV1" s="293"/>
      <c r="FQW1" s="293"/>
      <c r="FQX1" s="293"/>
      <c r="FQY1" s="293"/>
      <c r="FQZ1" s="293"/>
      <c r="FRA1" s="293"/>
      <c r="FRB1" s="293"/>
      <c r="FRC1" s="293"/>
      <c r="FRD1" s="293"/>
      <c r="FRE1" s="293"/>
      <c r="FRF1" s="293"/>
      <c r="FRG1" s="293"/>
      <c r="FRH1" s="293"/>
      <c r="FRI1" s="293"/>
      <c r="FRJ1" s="293"/>
      <c r="FRK1" s="293"/>
      <c r="FRL1" s="293"/>
      <c r="FRM1" s="293"/>
      <c r="FRN1" s="293"/>
      <c r="FRO1" s="293"/>
      <c r="FRP1" s="293"/>
      <c r="FRQ1" s="293"/>
      <c r="FRR1" s="293"/>
      <c r="FRS1" s="293"/>
      <c r="FRT1" s="293"/>
      <c r="FRU1" s="293"/>
      <c r="FRV1" s="293"/>
      <c r="FRW1" s="293"/>
      <c r="FRX1" s="293"/>
      <c r="FRY1" s="293"/>
      <c r="FRZ1" s="293"/>
      <c r="FSA1" s="293"/>
      <c r="FSB1" s="293"/>
      <c r="FSC1" s="293"/>
      <c r="FSD1" s="293"/>
      <c r="FSE1" s="293"/>
      <c r="FSF1" s="293"/>
      <c r="FSG1" s="293"/>
      <c r="FSH1" s="293"/>
      <c r="FSI1" s="293"/>
      <c r="FSJ1" s="293"/>
      <c r="FSK1" s="293"/>
      <c r="FSL1" s="293"/>
      <c r="FSM1" s="293"/>
      <c r="FSN1" s="293"/>
      <c r="FSO1" s="293"/>
      <c r="FSP1" s="293"/>
      <c r="FSQ1" s="293"/>
      <c r="FSR1" s="293"/>
      <c r="FSS1" s="293"/>
      <c r="FST1" s="293"/>
      <c r="FSU1" s="293"/>
      <c r="FSV1" s="293"/>
      <c r="FSW1" s="293"/>
      <c r="FSX1" s="293"/>
      <c r="FSY1" s="293"/>
      <c r="FSZ1" s="293"/>
      <c r="FTA1" s="293"/>
      <c r="FTB1" s="293"/>
      <c r="FTC1" s="293"/>
      <c r="FTD1" s="293"/>
      <c r="FTE1" s="293"/>
      <c r="FTF1" s="293"/>
      <c r="FTG1" s="293"/>
      <c r="FTH1" s="293"/>
      <c r="FTI1" s="293"/>
      <c r="FTJ1" s="293"/>
      <c r="FTK1" s="293"/>
      <c r="FTL1" s="293"/>
      <c r="FTM1" s="293"/>
      <c r="FTN1" s="293"/>
      <c r="FTO1" s="293"/>
      <c r="FTP1" s="293"/>
      <c r="FTQ1" s="293"/>
      <c r="FTR1" s="293"/>
      <c r="FTS1" s="293"/>
      <c r="FTT1" s="293"/>
      <c r="FTU1" s="293"/>
      <c r="FTV1" s="293"/>
      <c r="FTW1" s="293"/>
      <c r="FTX1" s="293"/>
      <c r="FTY1" s="293"/>
      <c r="FTZ1" s="293"/>
      <c r="FUA1" s="293"/>
      <c r="FUB1" s="293"/>
      <c r="FUC1" s="293"/>
      <c r="FUD1" s="293"/>
      <c r="FUE1" s="293"/>
      <c r="FUF1" s="293"/>
      <c r="FUG1" s="293"/>
      <c r="FUH1" s="293"/>
      <c r="FUI1" s="293"/>
      <c r="FUJ1" s="293"/>
      <c r="FUK1" s="293"/>
      <c r="FUL1" s="293"/>
      <c r="FUM1" s="293"/>
      <c r="FUN1" s="293"/>
      <c r="FUO1" s="293"/>
      <c r="FUP1" s="293"/>
      <c r="FUQ1" s="293"/>
      <c r="FUR1" s="293"/>
      <c r="FUS1" s="293"/>
      <c r="FUT1" s="293"/>
      <c r="FUU1" s="293"/>
      <c r="FUV1" s="293"/>
      <c r="FUW1" s="293"/>
      <c r="FUX1" s="293"/>
      <c r="FUY1" s="293"/>
      <c r="FUZ1" s="293"/>
      <c r="FVA1" s="293"/>
      <c r="FVB1" s="293"/>
      <c r="FVC1" s="293"/>
      <c r="FVD1" s="293"/>
      <c r="FVE1" s="293"/>
      <c r="FVF1" s="293"/>
      <c r="FVG1" s="293"/>
      <c r="FVH1" s="293"/>
      <c r="FVI1" s="293"/>
      <c r="FVJ1" s="293"/>
      <c r="FVK1" s="293"/>
      <c r="FVL1" s="293"/>
      <c r="FVM1" s="293"/>
      <c r="FVN1" s="293"/>
      <c r="FVO1" s="293"/>
      <c r="FVP1" s="293"/>
      <c r="FVQ1" s="293"/>
      <c r="FVR1" s="293"/>
      <c r="FVS1" s="293"/>
      <c r="FVT1" s="293"/>
      <c r="FVU1" s="293"/>
      <c r="FVV1" s="293"/>
      <c r="FVW1" s="293"/>
      <c r="FVX1" s="293"/>
      <c r="FVY1" s="293"/>
      <c r="FVZ1" s="293"/>
      <c r="FWA1" s="293"/>
      <c r="FWB1" s="293"/>
      <c r="FWC1" s="293"/>
      <c r="FWD1" s="293"/>
      <c r="FWE1" s="293"/>
      <c r="FWF1" s="293"/>
      <c r="FWG1" s="293"/>
      <c r="FWH1" s="293"/>
      <c r="FWI1" s="293"/>
      <c r="FWJ1" s="293"/>
      <c r="FWK1" s="293"/>
      <c r="FWL1" s="293"/>
      <c r="FWM1" s="293"/>
      <c r="FWN1" s="293"/>
      <c r="FWO1" s="293"/>
      <c r="FWP1" s="293"/>
      <c r="FWQ1" s="293"/>
      <c r="FWR1" s="293"/>
      <c r="FWS1" s="293"/>
      <c r="FWT1" s="293"/>
      <c r="FWU1" s="293"/>
      <c r="FWV1" s="293"/>
      <c r="FWW1" s="293"/>
      <c r="FWX1" s="293"/>
      <c r="FWY1" s="293"/>
      <c r="FWZ1" s="293"/>
      <c r="FXA1" s="293"/>
      <c r="FXB1" s="293"/>
      <c r="FXC1" s="293"/>
      <c r="FXD1" s="293"/>
      <c r="FXE1" s="293"/>
      <c r="FXF1" s="293"/>
      <c r="FXG1" s="293"/>
      <c r="FXH1" s="293"/>
      <c r="FXI1" s="293"/>
      <c r="FXJ1" s="293"/>
      <c r="FXK1" s="293"/>
      <c r="FXL1" s="293"/>
      <c r="FXM1" s="293"/>
      <c r="FXN1" s="293"/>
      <c r="FXO1" s="293"/>
      <c r="FXP1" s="293"/>
      <c r="FXQ1" s="293"/>
      <c r="FXR1" s="293"/>
      <c r="FXS1" s="293"/>
      <c r="FXT1" s="293"/>
      <c r="FXU1" s="293"/>
      <c r="FXV1" s="293"/>
      <c r="FXW1" s="293"/>
      <c r="FXX1" s="293"/>
      <c r="FXY1" s="293"/>
      <c r="FXZ1" s="293"/>
      <c r="FYA1" s="293"/>
      <c r="FYB1" s="293"/>
      <c r="FYC1" s="293"/>
      <c r="FYD1" s="293"/>
      <c r="FYE1" s="293"/>
      <c r="FYF1" s="293"/>
      <c r="FYG1" s="293"/>
      <c r="FYH1" s="293"/>
      <c r="FYI1" s="293"/>
      <c r="FYJ1" s="293"/>
      <c r="FYK1" s="293"/>
      <c r="FYL1" s="293"/>
      <c r="FYM1" s="293"/>
      <c r="FYN1" s="293"/>
      <c r="FYO1" s="293"/>
      <c r="FYP1" s="293"/>
      <c r="FYQ1" s="293"/>
      <c r="FYR1" s="293"/>
      <c r="FYS1" s="293"/>
      <c r="FYT1" s="293"/>
      <c r="FYU1" s="293"/>
      <c r="FYV1" s="293"/>
      <c r="FYW1" s="293"/>
      <c r="FYX1" s="293"/>
      <c r="FYY1" s="293"/>
      <c r="FYZ1" s="293"/>
      <c r="FZA1" s="293"/>
      <c r="FZB1" s="293"/>
      <c r="FZC1" s="293"/>
      <c r="FZD1" s="293"/>
      <c r="FZE1" s="293"/>
      <c r="FZF1" s="293"/>
      <c r="FZG1" s="293"/>
      <c r="FZH1" s="293"/>
      <c r="FZI1" s="293"/>
      <c r="FZJ1" s="293"/>
      <c r="FZK1" s="293"/>
      <c r="FZL1" s="293"/>
      <c r="FZM1" s="293"/>
      <c r="FZN1" s="293"/>
      <c r="FZO1" s="293"/>
      <c r="FZP1" s="293"/>
      <c r="FZQ1" s="293"/>
      <c r="FZR1" s="293"/>
      <c r="FZS1" s="293"/>
      <c r="FZT1" s="293"/>
      <c r="FZU1" s="293"/>
      <c r="FZV1" s="293"/>
      <c r="FZW1" s="293"/>
      <c r="FZX1" s="293"/>
      <c r="FZY1" s="293"/>
      <c r="FZZ1" s="293"/>
      <c r="GAA1" s="293"/>
      <c r="GAB1" s="293"/>
      <c r="GAC1" s="293"/>
      <c r="GAD1" s="293"/>
      <c r="GAE1" s="293"/>
      <c r="GAF1" s="293"/>
      <c r="GAG1" s="293"/>
      <c r="GAH1" s="293"/>
      <c r="GAI1" s="293"/>
      <c r="GAJ1" s="293"/>
      <c r="GAK1" s="293"/>
      <c r="GAL1" s="293"/>
      <c r="GAM1" s="293"/>
      <c r="GAN1" s="293"/>
      <c r="GAO1" s="293"/>
      <c r="GAP1" s="293"/>
      <c r="GAQ1" s="293"/>
      <c r="GAR1" s="293"/>
      <c r="GAS1" s="293"/>
      <c r="GAT1" s="293"/>
      <c r="GAU1" s="293"/>
      <c r="GAV1" s="293"/>
      <c r="GAW1" s="293"/>
      <c r="GAX1" s="293"/>
      <c r="GAY1" s="293"/>
      <c r="GAZ1" s="293"/>
      <c r="GBA1" s="293"/>
      <c r="GBB1" s="293"/>
      <c r="GBC1" s="293"/>
      <c r="GBD1" s="293"/>
      <c r="GBE1" s="293"/>
      <c r="GBF1" s="293"/>
      <c r="GBG1" s="293"/>
      <c r="GBH1" s="293"/>
      <c r="GBI1" s="293"/>
      <c r="GBJ1" s="293"/>
      <c r="GBK1" s="293"/>
      <c r="GBL1" s="293"/>
      <c r="GBM1" s="293"/>
      <c r="GBN1" s="293"/>
      <c r="GBO1" s="293"/>
      <c r="GBP1" s="293"/>
      <c r="GBQ1" s="293"/>
      <c r="GBR1" s="293"/>
      <c r="GBS1" s="293"/>
      <c r="GBT1" s="293"/>
      <c r="GBU1" s="293"/>
      <c r="GBV1" s="293"/>
      <c r="GBW1" s="293"/>
      <c r="GBX1" s="293"/>
      <c r="GBY1" s="293"/>
      <c r="GBZ1" s="293"/>
      <c r="GCA1" s="293"/>
      <c r="GCB1" s="293"/>
      <c r="GCC1" s="293"/>
      <c r="GCD1" s="293"/>
      <c r="GCE1" s="293"/>
      <c r="GCF1" s="293"/>
      <c r="GCG1" s="293"/>
      <c r="GCH1" s="293"/>
      <c r="GCI1" s="293"/>
      <c r="GCJ1" s="293"/>
      <c r="GCK1" s="293"/>
      <c r="GCL1" s="293"/>
      <c r="GCM1" s="293"/>
      <c r="GCN1" s="293"/>
      <c r="GCO1" s="293"/>
      <c r="GCP1" s="293"/>
      <c r="GCQ1" s="293"/>
      <c r="GCR1" s="293"/>
      <c r="GCS1" s="293"/>
      <c r="GCT1" s="293"/>
      <c r="GCU1" s="293"/>
      <c r="GCV1" s="293"/>
      <c r="GCW1" s="293"/>
      <c r="GCX1" s="293"/>
      <c r="GCY1" s="293"/>
      <c r="GCZ1" s="293"/>
      <c r="GDA1" s="293"/>
      <c r="GDB1" s="293"/>
      <c r="GDC1" s="293"/>
      <c r="GDD1" s="293"/>
      <c r="GDE1" s="293"/>
      <c r="GDF1" s="293"/>
      <c r="GDG1" s="293"/>
      <c r="GDH1" s="293"/>
      <c r="GDI1" s="293"/>
      <c r="GDJ1" s="293"/>
      <c r="GDK1" s="293"/>
      <c r="GDL1" s="293"/>
      <c r="GDM1" s="293"/>
      <c r="GDN1" s="293"/>
      <c r="GDO1" s="293"/>
      <c r="GDP1" s="293"/>
      <c r="GDQ1" s="293"/>
      <c r="GDR1" s="293"/>
      <c r="GDS1" s="293"/>
      <c r="GDT1" s="293"/>
      <c r="GDU1" s="293"/>
      <c r="GDV1" s="293"/>
      <c r="GDW1" s="293"/>
      <c r="GDX1" s="293"/>
      <c r="GDY1" s="293"/>
      <c r="GDZ1" s="293"/>
      <c r="GEA1" s="293"/>
      <c r="GEB1" s="293"/>
      <c r="GEC1" s="293"/>
      <c r="GED1" s="293"/>
      <c r="GEE1" s="293"/>
      <c r="GEF1" s="293"/>
      <c r="GEG1" s="293"/>
      <c r="GEH1" s="293"/>
      <c r="GEI1" s="293"/>
      <c r="GEJ1" s="293"/>
      <c r="GEK1" s="293"/>
      <c r="GEL1" s="293"/>
      <c r="GEM1" s="293"/>
      <c r="GEN1" s="293"/>
      <c r="GEO1" s="293"/>
      <c r="GEP1" s="293"/>
      <c r="GEQ1" s="293"/>
      <c r="GER1" s="293"/>
      <c r="GES1" s="293"/>
      <c r="GET1" s="293"/>
      <c r="GEU1" s="293"/>
      <c r="GEV1" s="293"/>
      <c r="GEW1" s="293"/>
      <c r="GEX1" s="293"/>
      <c r="GEY1" s="293"/>
      <c r="GEZ1" s="293"/>
      <c r="GFA1" s="293"/>
      <c r="GFB1" s="293"/>
      <c r="GFC1" s="293"/>
      <c r="GFD1" s="293"/>
      <c r="GFE1" s="293"/>
      <c r="GFF1" s="293"/>
      <c r="GFG1" s="293"/>
      <c r="GFH1" s="293"/>
      <c r="GFI1" s="293"/>
      <c r="GFJ1" s="293"/>
      <c r="GFK1" s="293"/>
      <c r="GFL1" s="293"/>
      <c r="GFM1" s="293"/>
      <c r="GFN1" s="293"/>
      <c r="GFO1" s="293"/>
      <c r="GFP1" s="293"/>
      <c r="GFQ1" s="293"/>
      <c r="GFR1" s="293"/>
      <c r="GFS1" s="293"/>
      <c r="GFT1" s="293"/>
      <c r="GFU1" s="293"/>
      <c r="GFV1" s="293"/>
      <c r="GFW1" s="293"/>
      <c r="GFX1" s="293"/>
      <c r="GFY1" s="293"/>
      <c r="GFZ1" s="293"/>
      <c r="GGA1" s="293"/>
      <c r="GGB1" s="293"/>
      <c r="GGC1" s="293"/>
      <c r="GGD1" s="293"/>
      <c r="GGE1" s="293"/>
      <c r="GGF1" s="293"/>
      <c r="GGG1" s="293"/>
      <c r="GGH1" s="293"/>
      <c r="GGI1" s="293"/>
      <c r="GGJ1" s="293"/>
      <c r="GGK1" s="293"/>
      <c r="GGL1" s="293"/>
      <c r="GGM1" s="293"/>
      <c r="GGN1" s="293"/>
      <c r="GGO1" s="293"/>
      <c r="GGP1" s="293"/>
      <c r="GGQ1" s="293"/>
      <c r="GGR1" s="293"/>
      <c r="GGS1" s="293"/>
      <c r="GGT1" s="293"/>
      <c r="GGU1" s="293"/>
      <c r="GGV1" s="293"/>
      <c r="GGW1" s="293"/>
      <c r="GGX1" s="293"/>
      <c r="GGY1" s="293"/>
      <c r="GGZ1" s="293"/>
      <c r="GHA1" s="293"/>
      <c r="GHB1" s="293"/>
      <c r="GHC1" s="293"/>
      <c r="GHD1" s="293"/>
      <c r="GHE1" s="293"/>
      <c r="GHF1" s="293"/>
      <c r="GHG1" s="293"/>
      <c r="GHH1" s="293"/>
      <c r="GHI1" s="293"/>
      <c r="GHJ1" s="293"/>
      <c r="GHK1" s="293"/>
      <c r="GHL1" s="293"/>
      <c r="GHM1" s="293"/>
      <c r="GHN1" s="293"/>
      <c r="GHO1" s="293"/>
      <c r="GHP1" s="293"/>
      <c r="GHQ1" s="293"/>
      <c r="GHR1" s="293"/>
      <c r="GHS1" s="293"/>
      <c r="GHT1" s="293"/>
      <c r="GHU1" s="293"/>
      <c r="GHV1" s="293"/>
      <c r="GHW1" s="293"/>
      <c r="GHX1" s="293"/>
      <c r="GHY1" s="293"/>
      <c r="GHZ1" s="293"/>
      <c r="GIA1" s="293"/>
      <c r="GIB1" s="293"/>
      <c r="GIC1" s="293"/>
      <c r="GID1" s="293"/>
      <c r="GIE1" s="293"/>
      <c r="GIF1" s="293"/>
      <c r="GIG1" s="293"/>
      <c r="GIH1" s="293"/>
      <c r="GII1" s="293"/>
      <c r="GIJ1" s="293"/>
      <c r="GIK1" s="293"/>
      <c r="GIL1" s="293"/>
      <c r="GIM1" s="293"/>
      <c r="GIN1" s="293"/>
      <c r="GIO1" s="293"/>
      <c r="GIP1" s="293"/>
      <c r="GIQ1" s="293"/>
      <c r="GIR1" s="293"/>
      <c r="GIS1" s="293"/>
      <c r="GIT1" s="293"/>
      <c r="GIU1" s="293"/>
      <c r="GIV1" s="293"/>
      <c r="GIW1" s="293"/>
      <c r="GIX1" s="293"/>
      <c r="GIY1" s="293"/>
      <c r="GIZ1" s="293"/>
      <c r="GJA1" s="293"/>
      <c r="GJB1" s="293"/>
      <c r="GJC1" s="293"/>
      <c r="GJD1" s="293"/>
      <c r="GJE1" s="293"/>
      <c r="GJF1" s="293"/>
      <c r="GJG1" s="293"/>
      <c r="GJH1" s="293"/>
      <c r="GJI1" s="293"/>
      <c r="GJJ1" s="293"/>
      <c r="GJK1" s="293"/>
      <c r="GJL1" s="293"/>
      <c r="GJM1" s="293"/>
      <c r="GJN1" s="293"/>
      <c r="GJO1" s="293"/>
      <c r="GJP1" s="293"/>
      <c r="GJQ1" s="293"/>
      <c r="GJR1" s="293"/>
      <c r="GJS1" s="293"/>
      <c r="GJT1" s="293"/>
      <c r="GJU1" s="293"/>
      <c r="GJV1" s="293"/>
      <c r="GJW1" s="293"/>
      <c r="GJX1" s="293"/>
      <c r="GJY1" s="293"/>
      <c r="GJZ1" s="293"/>
      <c r="GKA1" s="293"/>
      <c r="GKB1" s="293"/>
      <c r="GKC1" s="293"/>
      <c r="GKD1" s="293"/>
      <c r="GKE1" s="293"/>
      <c r="GKF1" s="293"/>
      <c r="GKG1" s="293"/>
      <c r="GKH1" s="293"/>
      <c r="GKI1" s="293"/>
      <c r="GKJ1" s="293"/>
      <c r="GKK1" s="293"/>
      <c r="GKL1" s="293"/>
      <c r="GKM1" s="293"/>
      <c r="GKN1" s="293"/>
      <c r="GKO1" s="293"/>
      <c r="GKP1" s="293"/>
      <c r="GKQ1" s="293"/>
      <c r="GKR1" s="293"/>
      <c r="GKS1" s="293"/>
      <c r="GKT1" s="293"/>
      <c r="GKU1" s="293"/>
      <c r="GKV1" s="293"/>
      <c r="GKW1" s="293"/>
      <c r="GKX1" s="293"/>
      <c r="GKY1" s="293"/>
      <c r="GKZ1" s="293"/>
      <c r="GLA1" s="293"/>
      <c r="GLB1" s="293"/>
      <c r="GLC1" s="293"/>
      <c r="GLD1" s="293"/>
      <c r="GLE1" s="293"/>
      <c r="GLF1" s="293"/>
      <c r="GLG1" s="293"/>
      <c r="GLH1" s="293"/>
      <c r="GLI1" s="293"/>
      <c r="GLJ1" s="293"/>
      <c r="GLK1" s="293"/>
      <c r="GLL1" s="293"/>
      <c r="GLM1" s="293"/>
      <c r="GLN1" s="293"/>
      <c r="GLO1" s="293"/>
      <c r="GLP1" s="293"/>
      <c r="GLQ1" s="293"/>
      <c r="GLR1" s="293"/>
      <c r="GLS1" s="293"/>
      <c r="GLT1" s="293"/>
      <c r="GLU1" s="293"/>
      <c r="GLV1" s="293"/>
      <c r="GLW1" s="293"/>
      <c r="GLX1" s="293"/>
      <c r="GLY1" s="293"/>
      <c r="GLZ1" s="293"/>
      <c r="GMA1" s="293"/>
      <c r="GMB1" s="293"/>
      <c r="GMC1" s="293"/>
      <c r="GMD1" s="293"/>
      <c r="GME1" s="293"/>
      <c r="GMF1" s="293"/>
      <c r="GMG1" s="293"/>
      <c r="GMH1" s="293"/>
      <c r="GMI1" s="293"/>
      <c r="GMJ1" s="293"/>
      <c r="GMK1" s="293"/>
      <c r="GML1" s="293"/>
      <c r="GMM1" s="293"/>
      <c r="GMN1" s="293"/>
      <c r="GMO1" s="293"/>
      <c r="GMP1" s="293"/>
      <c r="GMQ1" s="293"/>
      <c r="GMR1" s="293"/>
      <c r="GMS1" s="293"/>
      <c r="GMT1" s="293"/>
      <c r="GMU1" s="293"/>
      <c r="GMV1" s="293"/>
      <c r="GMW1" s="293"/>
      <c r="GMX1" s="293"/>
      <c r="GMY1" s="293"/>
      <c r="GMZ1" s="293"/>
      <c r="GNA1" s="293"/>
      <c r="GNB1" s="293"/>
      <c r="GNC1" s="293"/>
      <c r="GND1" s="293"/>
      <c r="GNE1" s="293"/>
      <c r="GNF1" s="293"/>
      <c r="GNG1" s="293"/>
      <c r="GNH1" s="293"/>
      <c r="GNI1" s="293"/>
      <c r="GNJ1" s="293"/>
      <c r="GNK1" s="293"/>
      <c r="GNL1" s="293"/>
      <c r="GNM1" s="293"/>
      <c r="GNN1" s="293"/>
      <c r="GNO1" s="293"/>
      <c r="GNP1" s="293"/>
      <c r="GNQ1" s="293"/>
      <c r="GNR1" s="293"/>
      <c r="GNS1" s="293"/>
      <c r="GNT1" s="293"/>
      <c r="GNU1" s="293"/>
      <c r="GNV1" s="293"/>
      <c r="GNW1" s="293"/>
      <c r="GNX1" s="293"/>
      <c r="GNY1" s="293"/>
      <c r="GNZ1" s="293"/>
      <c r="GOA1" s="293"/>
      <c r="GOB1" s="293"/>
      <c r="GOC1" s="293"/>
      <c r="GOD1" s="293"/>
      <c r="GOE1" s="293"/>
      <c r="GOF1" s="293"/>
      <c r="GOG1" s="293"/>
      <c r="GOH1" s="293"/>
      <c r="GOI1" s="293"/>
      <c r="GOJ1" s="293"/>
      <c r="GOK1" s="293"/>
      <c r="GOL1" s="293"/>
      <c r="GOM1" s="293"/>
      <c r="GON1" s="293"/>
      <c r="GOO1" s="293"/>
      <c r="GOP1" s="293"/>
      <c r="GOQ1" s="293"/>
      <c r="GOR1" s="293"/>
      <c r="GOS1" s="293"/>
      <c r="GOT1" s="293"/>
      <c r="GOU1" s="293"/>
      <c r="GOV1" s="293"/>
      <c r="GOW1" s="293"/>
      <c r="GOX1" s="293"/>
      <c r="GOY1" s="293"/>
      <c r="GOZ1" s="293"/>
      <c r="GPA1" s="293"/>
      <c r="GPB1" s="293"/>
      <c r="GPC1" s="293"/>
      <c r="GPD1" s="293"/>
      <c r="GPE1" s="293"/>
      <c r="GPF1" s="293"/>
      <c r="GPG1" s="293"/>
      <c r="GPH1" s="293"/>
      <c r="GPI1" s="293"/>
      <c r="GPJ1" s="293"/>
      <c r="GPK1" s="293"/>
      <c r="GPL1" s="293"/>
      <c r="GPM1" s="293"/>
      <c r="GPN1" s="293"/>
      <c r="GPO1" s="293"/>
      <c r="GPP1" s="293"/>
      <c r="GPQ1" s="293"/>
      <c r="GPR1" s="293"/>
      <c r="GPS1" s="293"/>
      <c r="GPT1" s="293"/>
      <c r="GPU1" s="293"/>
      <c r="GPV1" s="293"/>
      <c r="GPW1" s="293"/>
      <c r="GPX1" s="293"/>
      <c r="GPY1" s="293"/>
      <c r="GPZ1" s="293"/>
      <c r="GQA1" s="293"/>
      <c r="GQB1" s="293"/>
      <c r="GQC1" s="293"/>
      <c r="GQD1" s="293"/>
      <c r="GQE1" s="293"/>
      <c r="GQF1" s="293"/>
      <c r="GQG1" s="293"/>
      <c r="GQH1" s="293"/>
      <c r="GQI1" s="293"/>
      <c r="GQJ1" s="293"/>
      <c r="GQK1" s="293"/>
      <c r="GQL1" s="293"/>
      <c r="GQM1" s="293"/>
      <c r="GQN1" s="293"/>
      <c r="GQO1" s="293"/>
      <c r="GQP1" s="293"/>
      <c r="GQQ1" s="293"/>
      <c r="GQR1" s="293"/>
      <c r="GQS1" s="293"/>
      <c r="GQT1" s="293"/>
      <c r="GQU1" s="293"/>
      <c r="GQV1" s="293"/>
      <c r="GQW1" s="293"/>
      <c r="GQX1" s="293"/>
      <c r="GQY1" s="293"/>
      <c r="GQZ1" s="293"/>
      <c r="GRA1" s="293"/>
      <c r="GRB1" s="293"/>
      <c r="GRC1" s="293"/>
      <c r="GRD1" s="293"/>
      <c r="GRE1" s="293"/>
      <c r="GRF1" s="293"/>
      <c r="GRG1" s="293"/>
      <c r="GRH1" s="293"/>
      <c r="GRI1" s="293"/>
      <c r="GRJ1" s="293"/>
      <c r="GRK1" s="293"/>
      <c r="GRL1" s="293"/>
      <c r="GRM1" s="293"/>
      <c r="GRN1" s="293"/>
      <c r="GRO1" s="293"/>
      <c r="GRP1" s="293"/>
      <c r="GRQ1" s="293"/>
      <c r="GRR1" s="293"/>
      <c r="GRS1" s="293"/>
      <c r="GRT1" s="293"/>
      <c r="GRU1" s="293"/>
      <c r="GRV1" s="293"/>
      <c r="GRW1" s="293"/>
      <c r="GRX1" s="293"/>
      <c r="GRY1" s="293"/>
      <c r="GRZ1" s="293"/>
      <c r="GSA1" s="293"/>
      <c r="GSB1" s="293"/>
      <c r="GSC1" s="293"/>
      <c r="GSD1" s="293"/>
      <c r="GSE1" s="293"/>
      <c r="GSF1" s="293"/>
      <c r="GSG1" s="293"/>
      <c r="GSH1" s="293"/>
      <c r="GSI1" s="293"/>
      <c r="GSJ1" s="293"/>
      <c r="GSK1" s="293"/>
      <c r="GSL1" s="293"/>
      <c r="GSM1" s="293"/>
      <c r="GSN1" s="293"/>
      <c r="GSO1" s="293"/>
      <c r="GSP1" s="293"/>
      <c r="GSQ1" s="293"/>
      <c r="GSR1" s="293"/>
      <c r="GSS1" s="293"/>
      <c r="GST1" s="293"/>
      <c r="GSU1" s="293"/>
      <c r="GSV1" s="293"/>
      <c r="GSW1" s="293"/>
      <c r="GSX1" s="293"/>
      <c r="GSY1" s="293"/>
      <c r="GSZ1" s="293"/>
      <c r="GTA1" s="293"/>
      <c r="GTB1" s="293"/>
      <c r="GTC1" s="293"/>
      <c r="GTD1" s="293"/>
      <c r="GTE1" s="293"/>
      <c r="GTF1" s="293"/>
      <c r="GTG1" s="293"/>
      <c r="GTH1" s="293"/>
      <c r="GTI1" s="293"/>
      <c r="GTJ1" s="293"/>
      <c r="GTK1" s="293"/>
      <c r="GTL1" s="293"/>
      <c r="GTM1" s="293"/>
      <c r="GTN1" s="293"/>
      <c r="GTO1" s="293"/>
      <c r="GTP1" s="293"/>
      <c r="GTQ1" s="293"/>
      <c r="GTR1" s="293"/>
      <c r="GTS1" s="293"/>
      <c r="GTT1" s="293"/>
      <c r="GTU1" s="293"/>
      <c r="GTV1" s="293"/>
      <c r="GTW1" s="293"/>
      <c r="GTX1" s="293"/>
      <c r="GTY1" s="293"/>
      <c r="GTZ1" s="293"/>
      <c r="GUA1" s="293"/>
      <c r="GUB1" s="293"/>
      <c r="GUC1" s="293"/>
      <c r="GUD1" s="293"/>
      <c r="GUE1" s="293"/>
      <c r="GUF1" s="293"/>
      <c r="GUG1" s="293"/>
      <c r="GUH1" s="293"/>
      <c r="GUI1" s="293"/>
      <c r="GUJ1" s="293"/>
      <c r="GUK1" s="293"/>
      <c r="GUL1" s="293"/>
      <c r="GUM1" s="293"/>
      <c r="GUN1" s="293"/>
      <c r="GUO1" s="293"/>
      <c r="GUP1" s="293"/>
      <c r="GUQ1" s="293"/>
      <c r="GUR1" s="293"/>
      <c r="GUS1" s="293"/>
      <c r="GUT1" s="293"/>
      <c r="GUU1" s="293"/>
      <c r="GUV1" s="293"/>
      <c r="GUW1" s="293"/>
      <c r="GUX1" s="293"/>
      <c r="GUY1" s="293"/>
      <c r="GUZ1" s="293"/>
      <c r="GVA1" s="293"/>
      <c r="GVB1" s="293"/>
      <c r="GVC1" s="293"/>
      <c r="GVD1" s="293"/>
      <c r="GVE1" s="293"/>
      <c r="GVF1" s="293"/>
      <c r="GVG1" s="293"/>
      <c r="GVH1" s="293"/>
      <c r="GVI1" s="293"/>
      <c r="GVJ1" s="293"/>
      <c r="GVK1" s="293"/>
      <c r="GVL1" s="293"/>
      <c r="GVM1" s="293"/>
      <c r="GVN1" s="293"/>
      <c r="GVO1" s="293"/>
      <c r="GVP1" s="293"/>
      <c r="GVQ1" s="293"/>
      <c r="GVR1" s="293"/>
      <c r="GVS1" s="293"/>
      <c r="GVT1" s="293"/>
      <c r="GVU1" s="293"/>
      <c r="GVV1" s="293"/>
      <c r="GVW1" s="293"/>
      <c r="GVX1" s="293"/>
      <c r="GVY1" s="293"/>
      <c r="GVZ1" s="293"/>
      <c r="GWA1" s="293"/>
      <c r="GWB1" s="293"/>
      <c r="GWC1" s="293"/>
      <c r="GWD1" s="293"/>
      <c r="GWE1" s="293"/>
      <c r="GWF1" s="293"/>
      <c r="GWG1" s="293"/>
      <c r="GWH1" s="293"/>
      <c r="GWI1" s="293"/>
      <c r="GWJ1" s="293"/>
      <c r="GWK1" s="293"/>
      <c r="GWL1" s="293"/>
      <c r="GWM1" s="293"/>
      <c r="GWN1" s="293"/>
      <c r="GWO1" s="293"/>
      <c r="GWP1" s="293"/>
      <c r="GWQ1" s="293"/>
      <c r="GWR1" s="293"/>
      <c r="GWS1" s="293"/>
      <c r="GWT1" s="293"/>
      <c r="GWU1" s="293"/>
      <c r="GWV1" s="293"/>
      <c r="GWW1" s="293"/>
      <c r="GWX1" s="293"/>
      <c r="GWY1" s="293"/>
      <c r="GWZ1" s="293"/>
      <c r="GXA1" s="293"/>
      <c r="GXB1" s="293"/>
      <c r="GXC1" s="293"/>
      <c r="GXD1" s="293"/>
      <c r="GXE1" s="293"/>
      <c r="GXF1" s="293"/>
      <c r="GXG1" s="293"/>
      <c r="GXH1" s="293"/>
      <c r="GXI1" s="293"/>
      <c r="GXJ1" s="293"/>
      <c r="GXK1" s="293"/>
      <c r="GXL1" s="293"/>
      <c r="GXM1" s="293"/>
      <c r="GXN1" s="293"/>
      <c r="GXO1" s="293"/>
      <c r="GXP1" s="293"/>
      <c r="GXQ1" s="293"/>
      <c r="GXR1" s="293"/>
      <c r="GXS1" s="293"/>
      <c r="GXT1" s="293"/>
      <c r="GXU1" s="293"/>
      <c r="GXV1" s="293"/>
      <c r="GXW1" s="293"/>
      <c r="GXX1" s="293"/>
      <c r="GXY1" s="293"/>
      <c r="GXZ1" s="293"/>
      <c r="GYA1" s="293"/>
      <c r="GYB1" s="293"/>
      <c r="GYC1" s="293"/>
      <c r="GYD1" s="293"/>
      <c r="GYE1" s="293"/>
      <c r="GYF1" s="293"/>
      <c r="GYG1" s="293"/>
      <c r="GYH1" s="293"/>
      <c r="GYI1" s="293"/>
      <c r="GYJ1" s="293"/>
      <c r="GYK1" s="293"/>
      <c r="GYL1" s="293"/>
      <c r="GYM1" s="293"/>
      <c r="GYN1" s="293"/>
      <c r="GYO1" s="293"/>
      <c r="GYP1" s="293"/>
      <c r="GYQ1" s="293"/>
      <c r="GYR1" s="293"/>
      <c r="GYS1" s="293"/>
      <c r="GYT1" s="293"/>
      <c r="GYU1" s="293"/>
      <c r="GYV1" s="293"/>
      <c r="GYW1" s="293"/>
      <c r="GYX1" s="293"/>
      <c r="GYY1" s="293"/>
      <c r="GYZ1" s="293"/>
      <c r="GZA1" s="293"/>
      <c r="GZB1" s="293"/>
      <c r="GZC1" s="293"/>
      <c r="GZD1" s="293"/>
      <c r="GZE1" s="293"/>
      <c r="GZF1" s="293"/>
      <c r="GZG1" s="293"/>
      <c r="GZH1" s="293"/>
      <c r="GZI1" s="293"/>
      <c r="GZJ1" s="293"/>
      <c r="GZK1" s="293"/>
      <c r="GZL1" s="293"/>
      <c r="GZM1" s="293"/>
      <c r="GZN1" s="293"/>
      <c r="GZO1" s="293"/>
      <c r="GZP1" s="293"/>
      <c r="GZQ1" s="293"/>
      <c r="GZR1" s="293"/>
      <c r="GZS1" s="293"/>
      <c r="GZT1" s="293"/>
      <c r="GZU1" s="293"/>
      <c r="GZV1" s="293"/>
      <c r="GZW1" s="293"/>
      <c r="GZX1" s="293"/>
      <c r="GZY1" s="293"/>
      <c r="GZZ1" s="293"/>
      <c r="HAA1" s="293"/>
      <c r="HAB1" s="293"/>
      <c r="HAC1" s="293"/>
      <c r="HAD1" s="293"/>
      <c r="HAE1" s="293"/>
      <c r="HAF1" s="293"/>
      <c r="HAG1" s="293"/>
      <c r="HAH1" s="293"/>
      <c r="HAI1" s="293"/>
      <c r="HAJ1" s="293"/>
      <c r="HAK1" s="293"/>
      <c r="HAL1" s="293"/>
      <c r="HAM1" s="293"/>
      <c r="HAN1" s="293"/>
      <c r="HAO1" s="293"/>
      <c r="HAP1" s="293"/>
      <c r="HAQ1" s="293"/>
      <c r="HAR1" s="293"/>
      <c r="HAS1" s="293"/>
      <c r="HAT1" s="293"/>
      <c r="HAU1" s="293"/>
      <c r="HAV1" s="293"/>
      <c r="HAW1" s="293"/>
      <c r="HAX1" s="293"/>
      <c r="HAY1" s="293"/>
      <c r="HAZ1" s="293"/>
      <c r="HBA1" s="293"/>
      <c r="HBB1" s="293"/>
      <c r="HBC1" s="293"/>
      <c r="HBD1" s="293"/>
      <c r="HBE1" s="293"/>
      <c r="HBF1" s="293"/>
      <c r="HBG1" s="293"/>
      <c r="HBH1" s="293"/>
      <c r="HBI1" s="293"/>
      <c r="HBJ1" s="293"/>
      <c r="HBK1" s="293"/>
      <c r="HBL1" s="293"/>
      <c r="HBM1" s="293"/>
      <c r="HBN1" s="293"/>
      <c r="HBO1" s="293"/>
      <c r="HBP1" s="293"/>
      <c r="HBQ1" s="293"/>
      <c r="HBR1" s="293"/>
      <c r="HBS1" s="293"/>
      <c r="HBT1" s="293"/>
      <c r="HBU1" s="293"/>
      <c r="HBV1" s="293"/>
      <c r="HBW1" s="293"/>
      <c r="HBX1" s="293"/>
      <c r="HBY1" s="293"/>
      <c r="HBZ1" s="293"/>
      <c r="HCA1" s="293"/>
      <c r="HCB1" s="293"/>
      <c r="HCC1" s="293"/>
      <c r="HCD1" s="293"/>
      <c r="HCE1" s="293"/>
      <c r="HCF1" s="293"/>
      <c r="HCG1" s="293"/>
      <c r="HCH1" s="293"/>
      <c r="HCI1" s="293"/>
      <c r="HCJ1" s="293"/>
      <c r="HCK1" s="293"/>
      <c r="HCL1" s="293"/>
      <c r="HCM1" s="293"/>
      <c r="HCN1" s="293"/>
      <c r="HCO1" s="293"/>
      <c r="HCP1" s="293"/>
      <c r="HCQ1" s="293"/>
      <c r="HCR1" s="293"/>
      <c r="HCS1" s="293"/>
      <c r="HCT1" s="293"/>
      <c r="HCU1" s="293"/>
      <c r="HCV1" s="293"/>
      <c r="HCW1" s="293"/>
      <c r="HCX1" s="293"/>
      <c r="HCY1" s="293"/>
      <c r="HCZ1" s="293"/>
      <c r="HDA1" s="293"/>
      <c r="HDB1" s="293"/>
      <c r="HDC1" s="293"/>
      <c r="HDD1" s="293"/>
      <c r="HDE1" s="293"/>
      <c r="HDF1" s="293"/>
      <c r="HDG1" s="293"/>
      <c r="HDH1" s="293"/>
      <c r="HDI1" s="293"/>
      <c r="HDJ1" s="293"/>
      <c r="HDK1" s="293"/>
      <c r="HDL1" s="293"/>
      <c r="HDM1" s="293"/>
      <c r="HDN1" s="293"/>
      <c r="HDO1" s="293"/>
      <c r="HDP1" s="293"/>
      <c r="HDQ1" s="293"/>
      <c r="HDR1" s="293"/>
      <c r="HDS1" s="293"/>
      <c r="HDT1" s="293"/>
      <c r="HDU1" s="293"/>
      <c r="HDV1" s="293"/>
      <c r="HDW1" s="293"/>
      <c r="HDX1" s="293"/>
      <c r="HDY1" s="293"/>
      <c r="HDZ1" s="293"/>
      <c r="HEA1" s="293"/>
      <c r="HEB1" s="293"/>
      <c r="HEC1" s="293"/>
      <c r="HED1" s="293"/>
      <c r="HEE1" s="293"/>
      <c r="HEF1" s="293"/>
      <c r="HEG1" s="293"/>
      <c r="HEH1" s="293"/>
      <c r="HEI1" s="293"/>
      <c r="HEJ1" s="293"/>
      <c r="HEK1" s="293"/>
      <c r="HEL1" s="293"/>
      <c r="HEM1" s="293"/>
      <c r="HEN1" s="293"/>
      <c r="HEO1" s="293"/>
      <c r="HEP1" s="293"/>
      <c r="HEQ1" s="293"/>
      <c r="HER1" s="293"/>
      <c r="HES1" s="293"/>
      <c r="HET1" s="293"/>
      <c r="HEU1" s="293"/>
      <c r="HEV1" s="293"/>
      <c r="HEW1" s="293"/>
      <c r="HEX1" s="293"/>
      <c r="HEY1" s="293"/>
      <c r="HEZ1" s="293"/>
      <c r="HFA1" s="293"/>
      <c r="HFB1" s="293"/>
      <c r="HFC1" s="293"/>
      <c r="HFD1" s="293"/>
      <c r="HFE1" s="293"/>
      <c r="HFF1" s="293"/>
      <c r="HFG1" s="293"/>
      <c r="HFH1" s="293"/>
      <c r="HFI1" s="293"/>
      <c r="HFJ1" s="293"/>
      <c r="HFK1" s="293"/>
      <c r="HFL1" s="293"/>
      <c r="HFM1" s="293"/>
      <c r="HFN1" s="293"/>
      <c r="HFO1" s="293"/>
      <c r="HFP1" s="293"/>
      <c r="HFQ1" s="293"/>
      <c r="HFR1" s="293"/>
      <c r="HFS1" s="293"/>
      <c r="HFT1" s="293"/>
      <c r="HFU1" s="293"/>
      <c r="HFV1" s="293"/>
      <c r="HFW1" s="293"/>
      <c r="HFX1" s="293"/>
      <c r="HFY1" s="293"/>
      <c r="HFZ1" s="293"/>
      <c r="HGA1" s="293"/>
      <c r="HGB1" s="293"/>
      <c r="HGC1" s="293"/>
      <c r="HGD1" s="293"/>
      <c r="HGE1" s="293"/>
      <c r="HGF1" s="293"/>
      <c r="HGG1" s="293"/>
      <c r="HGH1" s="293"/>
      <c r="HGI1" s="293"/>
      <c r="HGJ1" s="293"/>
      <c r="HGK1" s="293"/>
      <c r="HGL1" s="293"/>
      <c r="HGM1" s="293"/>
      <c r="HGN1" s="293"/>
      <c r="HGO1" s="293"/>
      <c r="HGP1" s="293"/>
      <c r="HGQ1" s="293"/>
      <c r="HGR1" s="293"/>
      <c r="HGS1" s="293"/>
      <c r="HGT1" s="293"/>
      <c r="HGU1" s="293"/>
      <c r="HGV1" s="293"/>
      <c r="HGW1" s="293"/>
      <c r="HGX1" s="293"/>
      <c r="HGY1" s="293"/>
      <c r="HGZ1" s="293"/>
      <c r="HHA1" s="293"/>
      <c r="HHB1" s="293"/>
      <c r="HHC1" s="293"/>
      <c r="HHD1" s="293"/>
      <c r="HHE1" s="293"/>
      <c r="HHF1" s="293"/>
      <c r="HHG1" s="293"/>
      <c r="HHH1" s="293"/>
      <c r="HHI1" s="293"/>
      <c r="HHJ1" s="293"/>
      <c r="HHK1" s="293"/>
      <c r="HHL1" s="293"/>
      <c r="HHM1" s="293"/>
      <c r="HHN1" s="293"/>
      <c r="HHO1" s="293"/>
      <c r="HHP1" s="293"/>
      <c r="HHQ1" s="293"/>
      <c r="HHR1" s="293"/>
      <c r="HHS1" s="293"/>
      <c r="HHT1" s="293"/>
      <c r="HHU1" s="293"/>
      <c r="HHV1" s="293"/>
      <c r="HHW1" s="293"/>
      <c r="HHX1" s="293"/>
      <c r="HHY1" s="293"/>
      <c r="HHZ1" s="293"/>
      <c r="HIA1" s="293"/>
      <c r="HIB1" s="293"/>
      <c r="HIC1" s="293"/>
      <c r="HID1" s="293"/>
      <c r="HIE1" s="293"/>
      <c r="HIF1" s="293"/>
      <c r="HIG1" s="293"/>
      <c r="HIH1" s="293"/>
      <c r="HII1" s="293"/>
      <c r="HIJ1" s="293"/>
      <c r="HIK1" s="293"/>
      <c r="HIL1" s="293"/>
      <c r="HIM1" s="293"/>
      <c r="HIN1" s="293"/>
      <c r="HIO1" s="293"/>
      <c r="HIP1" s="293"/>
      <c r="HIQ1" s="293"/>
      <c r="HIR1" s="293"/>
      <c r="HIS1" s="293"/>
      <c r="HIT1" s="293"/>
      <c r="HIU1" s="293"/>
      <c r="HIV1" s="293"/>
      <c r="HIW1" s="293"/>
      <c r="HIX1" s="293"/>
      <c r="HIY1" s="293"/>
      <c r="HIZ1" s="293"/>
      <c r="HJA1" s="293"/>
      <c r="HJB1" s="293"/>
      <c r="HJC1" s="293"/>
      <c r="HJD1" s="293"/>
      <c r="HJE1" s="293"/>
      <c r="HJF1" s="293"/>
      <c r="HJG1" s="293"/>
      <c r="HJH1" s="293"/>
      <c r="HJI1" s="293"/>
      <c r="HJJ1" s="293"/>
      <c r="HJK1" s="293"/>
      <c r="HJL1" s="293"/>
      <c r="HJM1" s="293"/>
      <c r="HJN1" s="293"/>
      <c r="HJO1" s="293"/>
      <c r="HJP1" s="293"/>
      <c r="HJQ1" s="293"/>
      <c r="HJR1" s="293"/>
      <c r="HJS1" s="293"/>
      <c r="HJT1" s="293"/>
      <c r="HJU1" s="293"/>
      <c r="HJV1" s="293"/>
      <c r="HJW1" s="293"/>
      <c r="HJX1" s="293"/>
      <c r="HJY1" s="293"/>
      <c r="HJZ1" s="293"/>
      <c r="HKA1" s="293"/>
      <c r="HKB1" s="293"/>
      <c r="HKC1" s="293"/>
      <c r="HKD1" s="293"/>
      <c r="HKE1" s="293"/>
      <c r="HKF1" s="293"/>
      <c r="HKG1" s="293"/>
      <c r="HKH1" s="293"/>
      <c r="HKI1" s="293"/>
      <c r="HKJ1" s="293"/>
      <c r="HKK1" s="293"/>
      <c r="HKL1" s="293"/>
      <c r="HKM1" s="293"/>
      <c r="HKN1" s="293"/>
      <c r="HKO1" s="293"/>
      <c r="HKP1" s="293"/>
      <c r="HKQ1" s="293"/>
      <c r="HKR1" s="293"/>
      <c r="HKS1" s="293"/>
      <c r="HKT1" s="293"/>
      <c r="HKU1" s="293"/>
      <c r="HKV1" s="293"/>
      <c r="HKW1" s="293"/>
      <c r="HKX1" s="293"/>
      <c r="HKY1" s="293"/>
      <c r="HKZ1" s="293"/>
      <c r="HLA1" s="293"/>
      <c r="HLB1" s="293"/>
      <c r="HLC1" s="293"/>
      <c r="HLD1" s="293"/>
      <c r="HLE1" s="293"/>
      <c r="HLF1" s="293"/>
      <c r="HLG1" s="293"/>
      <c r="HLH1" s="293"/>
      <c r="HLI1" s="293"/>
      <c r="HLJ1" s="293"/>
      <c r="HLK1" s="293"/>
      <c r="HLL1" s="293"/>
      <c r="HLM1" s="293"/>
      <c r="HLN1" s="293"/>
      <c r="HLO1" s="293"/>
      <c r="HLP1" s="293"/>
      <c r="HLQ1" s="293"/>
      <c r="HLR1" s="293"/>
      <c r="HLS1" s="293"/>
      <c r="HLT1" s="293"/>
      <c r="HLU1" s="293"/>
      <c r="HLV1" s="293"/>
      <c r="HLW1" s="293"/>
      <c r="HLX1" s="293"/>
      <c r="HLY1" s="293"/>
      <c r="HLZ1" s="293"/>
      <c r="HMA1" s="293"/>
      <c r="HMB1" s="293"/>
      <c r="HMC1" s="293"/>
      <c r="HMD1" s="293"/>
      <c r="HME1" s="293"/>
      <c r="HMF1" s="293"/>
      <c r="HMG1" s="293"/>
      <c r="HMH1" s="293"/>
      <c r="HMI1" s="293"/>
      <c r="HMJ1" s="293"/>
      <c r="HMK1" s="293"/>
      <c r="HML1" s="293"/>
      <c r="HMM1" s="293"/>
      <c r="HMN1" s="293"/>
      <c r="HMO1" s="293"/>
      <c r="HMP1" s="293"/>
      <c r="HMQ1" s="293"/>
      <c r="HMR1" s="293"/>
      <c r="HMS1" s="293"/>
      <c r="HMT1" s="293"/>
      <c r="HMU1" s="293"/>
      <c r="HMV1" s="293"/>
      <c r="HMW1" s="293"/>
      <c r="HMX1" s="293"/>
      <c r="HMY1" s="293"/>
      <c r="HMZ1" s="293"/>
      <c r="HNA1" s="293"/>
      <c r="HNB1" s="293"/>
      <c r="HNC1" s="293"/>
      <c r="HND1" s="293"/>
      <c r="HNE1" s="293"/>
      <c r="HNF1" s="293"/>
      <c r="HNG1" s="293"/>
      <c r="HNH1" s="293"/>
      <c r="HNI1" s="293"/>
      <c r="HNJ1" s="293"/>
      <c r="HNK1" s="293"/>
      <c r="HNL1" s="293"/>
      <c r="HNM1" s="293"/>
      <c r="HNN1" s="293"/>
      <c r="HNO1" s="293"/>
      <c r="HNP1" s="293"/>
      <c r="HNQ1" s="293"/>
      <c r="HNR1" s="293"/>
      <c r="HNS1" s="293"/>
      <c r="HNT1" s="293"/>
      <c r="HNU1" s="293"/>
      <c r="HNV1" s="293"/>
      <c r="HNW1" s="293"/>
      <c r="HNX1" s="293"/>
      <c r="HNY1" s="293"/>
      <c r="HNZ1" s="293"/>
      <c r="HOA1" s="293"/>
      <c r="HOB1" s="293"/>
      <c r="HOC1" s="293"/>
      <c r="HOD1" s="293"/>
      <c r="HOE1" s="293"/>
      <c r="HOF1" s="293"/>
      <c r="HOG1" s="293"/>
      <c r="HOH1" s="293"/>
      <c r="HOI1" s="293"/>
      <c r="HOJ1" s="293"/>
      <c r="HOK1" s="293"/>
      <c r="HOL1" s="293"/>
      <c r="HOM1" s="293"/>
      <c r="HON1" s="293"/>
      <c r="HOO1" s="293"/>
      <c r="HOP1" s="293"/>
      <c r="HOQ1" s="293"/>
      <c r="HOR1" s="293"/>
      <c r="HOS1" s="293"/>
      <c r="HOT1" s="293"/>
      <c r="HOU1" s="293"/>
      <c r="HOV1" s="293"/>
      <c r="HOW1" s="293"/>
      <c r="HOX1" s="293"/>
      <c r="HOY1" s="293"/>
      <c r="HOZ1" s="293"/>
      <c r="HPA1" s="293"/>
      <c r="HPB1" s="293"/>
      <c r="HPC1" s="293"/>
      <c r="HPD1" s="293"/>
      <c r="HPE1" s="293"/>
      <c r="HPF1" s="293"/>
      <c r="HPG1" s="293"/>
      <c r="HPH1" s="293"/>
      <c r="HPI1" s="293"/>
      <c r="HPJ1" s="293"/>
      <c r="HPK1" s="293"/>
      <c r="HPL1" s="293"/>
      <c r="HPM1" s="293"/>
      <c r="HPN1" s="293"/>
      <c r="HPO1" s="293"/>
      <c r="HPP1" s="293"/>
      <c r="HPQ1" s="293"/>
      <c r="HPR1" s="293"/>
      <c r="HPS1" s="293"/>
      <c r="HPT1" s="293"/>
      <c r="HPU1" s="293"/>
      <c r="HPV1" s="293"/>
      <c r="HPW1" s="293"/>
      <c r="HPX1" s="293"/>
      <c r="HPY1" s="293"/>
      <c r="HPZ1" s="293"/>
      <c r="HQA1" s="293"/>
      <c r="HQB1" s="293"/>
      <c r="HQC1" s="293"/>
      <c r="HQD1" s="293"/>
      <c r="HQE1" s="293"/>
      <c r="HQF1" s="293"/>
      <c r="HQG1" s="293"/>
      <c r="HQH1" s="293"/>
      <c r="HQI1" s="293"/>
      <c r="HQJ1" s="293"/>
      <c r="HQK1" s="293"/>
      <c r="HQL1" s="293"/>
      <c r="HQM1" s="293"/>
      <c r="HQN1" s="293"/>
      <c r="HQO1" s="293"/>
      <c r="HQP1" s="293"/>
      <c r="HQQ1" s="293"/>
      <c r="HQR1" s="293"/>
      <c r="HQS1" s="293"/>
      <c r="HQT1" s="293"/>
      <c r="HQU1" s="293"/>
      <c r="HQV1" s="293"/>
      <c r="HQW1" s="293"/>
      <c r="HQX1" s="293"/>
      <c r="HQY1" s="293"/>
      <c r="HQZ1" s="293"/>
      <c r="HRA1" s="293"/>
      <c r="HRB1" s="293"/>
      <c r="HRC1" s="293"/>
      <c r="HRD1" s="293"/>
      <c r="HRE1" s="293"/>
      <c r="HRF1" s="293"/>
      <c r="HRG1" s="293"/>
      <c r="HRH1" s="293"/>
      <c r="HRI1" s="293"/>
      <c r="HRJ1" s="293"/>
      <c r="HRK1" s="293"/>
      <c r="HRL1" s="293"/>
      <c r="HRM1" s="293"/>
      <c r="HRN1" s="293"/>
      <c r="HRO1" s="293"/>
      <c r="HRP1" s="293"/>
      <c r="HRQ1" s="293"/>
      <c r="HRR1" s="293"/>
      <c r="HRS1" s="293"/>
      <c r="HRT1" s="293"/>
      <c r="HRU1" s="293"/>
      <c r="HRV1" s="293"/>
      <c r="HRW1" s="293"/>
      <c r="HRX1" s="293"/>
      <c r="HRY1" s="293"/>
      <c r="HRZ1" s="293"/>
      <c r="HSA1" s="293"/>
      <c r="HSB1" s="293"/>
      <c r="HSC1" s="293"/>
      <c r="HSD1" s="293"/>
      <c r="HSE1" s="293"/>
      <c r="HSF1" s="293"/>
      <c r="HSG1" s="293"/>
      <c r="HSH1" s="293"/>
      <c r="HSI1" s="293"/>
      <c r="HSJ1" s="293"/>
      <c r="HSK1" s="293"/>
      <c r="HSL1" s="293"/>
      <c r="HSM1" s="293"/>
      <c r="HSN1" s="293"/>
      <c r="HSO1" s="293"/>
      <c r="HSP1" s="293"/>
      <c r="HSQ1" s="293"/>
      <c r="HSR1" s="293"/>
      <c r="HSS1" s="293"/>
      <c r="HST1" s="293"/>
      <c r="HSU1" s="293"/>
      <c r="HSV1" s="293"/>
      <c r="HSW1" s="293"/>
      <c r="HSX1" s="293"/>
      <c r="HSY1" s="293"/>
      <c r="HSZ1" s="293"/>
      <c r="HTA1" s="293"/>
      <c r="HTB1" s="293"/>
      <c r="HTC1" s="293"/>
      <c r="HTD1" s="293"/>
      <c r="HTE1" s="293"/>
      <c r="HTF1" s="293"/>
      <c r="HTG1" s="293"/>
      <c r="HTH1" s="293"/>
      <c r="HTI1" s="293"/>
      <c r="HTJ1" s="293"/>
      <c r="HTK1" s="293"/>
      <c r="HTL1" s="293"/>
      <c r="HTM1" s="293"/>
      <c r="HTN1" s="293"/>
      <c r="HTO1" s="293"/>
      <c r="HTP1" s="293"/>
      <c r="HTQ1" s="293"/>
      <c r="HTR1" s="293"/>
      <c r="HTS1" s="293"/>
      <c r="HTT1" s="293"/>
      <c r="HTU1" s="293"/>
      <c r="HTV1" s="293"/>
      <c r="HTW1" s="293"/>
      <c r="HTX1" s="293"/>
      <c r="HTY1" s="293"/>
      <c r="HTZ1" s="293"/>
      <c r="HUA1" s="293"/>
      <c r="HUB1" s="293"/>
      <c r="HUC1" s="293"/>
      <c r="HUD1" s="293"/>
      <c r="HUE1" s="293"/>
      <c r="HUF1" s="293"/>
      <c r="HUG1" s="293"/>
      <c r="HUH1" s="293"/>
      <c r="HUI1" s="293"/>
      <c r="HUJ1" s="293"/>
      <c r="HUK1" s="293"/>
      <c r="HUL1" s="293"/>
      <c r="HUM1" s="293"/>
      <c r="HUN1" s="293"/>
      <c r="HUO1" s="293"/>
      <c r="HUP1" s="293"/>
      <c r="HUQ1" s="293"/>
      <c r="HUR1" s="293"/>
      <c r="HUS1" s="293"/>
      <c r="HUT1" s="293"/>
      <c r="HUU1" s="293"/>
      <c r="HUV1" s="293"/>
      <c r="HUW1" s="293"/>
      <c r="HUX1" s="293"/>
      <c r="HUY1" s="293"/>
      <c r="HUZ1" s="293"/>
      <c r="HVA1" s="293"/>
      <c r="HVB1" s="293"/>
      <c r="HVC1" s="293"/>
      <c r="HVD1" s="293"/>
      <c r="HVE1" s="293"/>
      <c r="HVF1" s="293"/>
      <c r="HVG1" s="293"/>
      <c r="HVH1" s="293"/>
      <c r="HVI1" s="293"/>
      <c r="HVJ1" s="293"/>
      <c r="HVK1" s="293"/>
      <c r="HVL1" s="293"/>
      <c r="HVM1" s="293"/>
      <c r="HVN1" s="293"/>
      <c r="HVO1" s="293"/>
      <c r="HVP1" s="293"/>
      <c r="HVQ1" s="293"/>
      <c r="HVR1" s="293"/>
      <c r="HVS1" s="293"/>
      <c r="HVT1" s="293"/>
      <c r="HVU1" s="293"/>
      <c r="HVV1" s="293"/>
      <c r="HVW1" s="293"/>
      <c r="HVX1" s="293"/>
      <c r="HVY1" s="293"/>
      <c r="HVZ1" s="293"/>
      <c r="HWA1" s="293"/>
      <c r="HWB1" s="293"/>
      <c r="HWC1" s="293"/>
      <c r="HWD1" s="293"/>
      <c r="HWE1" s="293"/>
      <c r="HWF1" s="293"/>
      <c r="HWG1" s="293"/>
      <c r="HWH1" s="293"/>
      <c r="HWI1" s="293"/>
      <c r="HWJ1" s="293"/>
      <c r="HWK1" s="293"/>
      <c r="HWL1" s="293"/>
      <c r="HWM1" s="293"/>
      <c r="HWN1" s="293"/>
      <c r="HWO1" s="293"/>
      <c r="HWP1" s="293"/>
      <c r="HWQ1" s="293"/>
      <c r="HWR1" s="293"/>
      <c r="HWS1" s="293"/>
      <c r="HWT1" s="293"/>
      <c r="HWU1" s="293"/>
      <c r="HWV1" s="293"/>
      <c r="HWW1" s="293"/>
      <c r="HWX1" s="293"/>
      <c r="HWY1" s="293"/>
      <c r="HWZ1" s="293"/>
      <c r="HXA1" s="293"/>
      <c r="HXB1" s="293"/>
      <c r="HXC1" s="293"/>
      <c r="HXD1" s="293"/>
      <c r="HXE1" s="293"/>
      <c r="HXF1" s="293"/>
      <c r="HXG1" s="293"/>
      <c r="HXH1" s="293"/>
      <c r="HXI1" s="293"/>
      <c r="HXJ1" s="293"/>
      <c r="HXK1" s="293"/>
      <c r="HXL1" s="293"/>
      <c r="HXM1" s="293"/>
      <c r="HXN1" s="293"/>
      <c r="HXO1" s="293"/>
      <c r="HXP1" s="293"/>
      <c r="HXQ1" s="293"/>
      <c r="HXR1" s="293"/>
      <c r="HXS1" s="293"/>
      <c r="HXT1" s="293"/>
      <c r="HXU1" s="293"/>
      <c r="HXV1" s="293"/>
      <c r="HXW1" s="293"/>
      <c r="HXX1" s="293"/>
      <c r="HXY1" s="293"/>
      <c r="HXZ1" s="293"/>
      <c r="HYA1" s="293"/>
      <c r="HYB1" s="293"/>
      <c r="HYC1" s="293"/>
      <c r="HYD1" s="293"/>
      <c r="HYE1" s="293"/>
      <c r="HYF1" s="293"/>
      <c r="HYG1" s="293"/>
      <c r="HYH1" s="293"/>
      <c r="HYI1" s="293"/>
      <c r="HYJ1" s="293"/>
      <c r="HYK1" s="293"/>
      <c r="HYL1" s="293"/>
      <c r="HYM1" s="293"/>
      <c r="HYN1" s="293"/>
      <c r="HYO1" s="293"/>
      <c r="HYP1" s="293"/>
      <c r="HYQ1" s="293"/>
      <c r="HYR1" s="293"/>
      <c r="HYS1" s="293"/>
      <c r="HYT1" s="293"/>
      <c r="HYU1" s="293"/>
      <c r="HYV1" s="293"/>
      <c r="HYW1" s="293"/>
      <c r="HYX1" s="293"/>
      <c r="HYY1" s="293"/>
      <c r="HYZ1" s="293"/>
      <c r="HZA1" s="293"/>
      <c r="HZB1" s="293"/>
      <c r="HZC1" s="293"/>
      <c r="HZD1" s="293"/>
      <c r="HZE1" s="293"/>
      <c r="HZF1" s="293"/>
      <c r="HZG1" s="293"/>
      <c r="HZH1" s="293"/>
      <c r="HZI1" s="293"/>
      <c r="HZJ1" s="293"/>
      <c r="HZK1" s="293"/>
      <c r="HZL1" s="293"/>
      <c r="HZM1" s="293"/>
      <c r="HZN1" s="293"/>
      <c r="HZO1" s="293"/>
      <c r="HZP1" s="293"/>
      <c r="HZQ1" s="293"/>
      <c r="HZR1" s="293"/>
      <c r="HZS1" s="293"/>
      <c r="HZT1" s="293"/>
      <c r="HZU1" s="293"/>
      <c r="HZV1" s="293"/>
      <c r="HZW1" s="293"/>
      <c r="HZX1" s="293"/>
      <c r="HZY1" s="293"/>
      <c r="HZZ1" s="293"/>
      <c r="IAA1" s="293"/>
      <c r="IAB1" s="293"/>
      <c r="IAC1" s="293"/>
      <c r="IAD1" s="293"/>
      <c r="IAE1" s="293"/>
      <c r="IAF1" s="293"/>
      <c r="IAG1" s="293"/>
      <c r="IAH1" s="293"/>
      <c r="IAI1" s="293"/>
      <c r="IAJ1" s="293"/>
      <c r="IAK1" s="293"/>
      <c r="IAL1" s="293"/>
      <c r="IAM1" s="293"/>
      <c r="IAN1" s="293"/>
      <c r="IAO1" s="293"/>
      <c r="IAP1" s="293"/>
      <c r="IAQ1" s="293"/>
      <c r="IAR1" s="293"/>
      <c r="IAS1" s="293"/>
      <c r="IAT1" s="293"/>
      <c r="IAU1" s="293"/>
      <c r="IAV1" s="293"/>
      <c r="IAW1" s="293"/>
      <c r="IAX1" s="293"/>
      <c r="IAY1" s="293"/>
      <c r="IAZ1" s="293"/>
      <c r="IBA1" s="293"/>
      <c r="IBB1" s="293"/>
      <c r="IBC1" s="293"/>
      <c r="IBD1" s="293"/>
      <c r="IBE1" s="293"/>
      <c r="IBF1" s="293"/>
      <c r="IBG1" s="293"/>
      <c r="IBH1" s="293"/>
      <c r="IBI1" s="293"/>
      <c r="IBJ1" s="293"/>
      <c r="IBK1" s="293"/>
      <c r="IBL1" s="293"/>
      <c r="IBM1" s="293"/>
      <c r="IBN1" s="293"/>
      <c r="IBO1" s="293"/>
      <c r="IBP1" s="293"/>
      <c r="IBQ1" s="293"/>
      <c r="IBR1" s="293"/>
      <c r="IBS1" s="293"/>
      <c r="IBT1" s="293"/>
      <c r="IBU1" s="293"/>
      <c r="IBV1" s="293"/>
      <c r="IBW1" s="293"/>
      <c r="IBX1" s="293"/>
      <c r="IBY1" s="293"/>
      <c r="IBZ1" s="293"/>
      <c r="ICA1" s="293"/>
      <c r="ICB1" s="293"/>
      <c r="ICC1" s="293"/>
      <c r="ICD1" s="293"/>
      <c r="ICE1" s="293"/>
      <c r="ICF1" s="293"/>
      <c r="ICG1" s="293"/>
      <c r="ICH1" s="293"/>
      <c r="ICI1" s="293"/>
      <c r="ICJ1" s="293"/>
      <c r="ICK1" s="293"/>
      <c r="ICL1" s="293"/>
      <c r="ICM1" s="293"/>
      <c r="ICN1" s="293"/>
      <c r="ICO1" s="293"/>
      <c r="ICP1" s="293"/>
      <c r="ICQ1" s="293"/>
      <c r="ICR1" s="293"/>
      <c r="ICS1" s="293"/>
      <c r="ICT1" s="293"/>
      <c r="ICU1" s="293"/>
      <c r="ICV1" s="293"/>
      <c r="ICW1" s="293"/>
      <c r="ICX1" s="293"/>
      <c r="ICY1" s="293"/>
      <c r="ICZ1" s="293"/>
      <c r="IDA1" s="293"/>
      <c r="IDB1" s="293"/>
      <c r="IDC1" s="293"/>
      <c r="IDD1" s="293"/>
      <c r="IDE1" s="293"/>
      <c r="IDF1" s="293"/>
      <c r="IDG1" s="293"/>
      <c r="IDH1" s="293"/>
      <c r="IDI1" s="293"/>
      <c r="IDJ1" s="293"/>
      <c r="IDK1" s="293"/>
      <c r="IDL1" s="293"/>
      <c r="IDM1" s="293"/>
      <c r="IDN1" s="293"/>
      <c r="IDO1" s="293"/>
      <c r="IDP1" s="293"/>
      <c r="IDQ1" s="293"/>
      <c r="IDR1" s="293"/>
      <c r="IDS1" s="293"/>
      <c r="IDT1" s="293"/>
      <c r="IDU1" s="293"/>
      <c r="IDV1" s="293"/>
      <c r="IDW1" s="293"/>
      <c r="IDX1" s="293"/>
      <c r="IDY1" s="293"/>
      <c r="IDZ1" s="293"/>
      <c r="IEA1" s="293"/>
      <c r="IEB1" s="293"/>
      <c r="IEC1" s="293"/>
      <c r="IED1" s="293"/>
      <c r="IEE1" s="293"/>
      <c r="IEF1" s="293"/>
      <c r="IEG1" s="293"/>
      <c r="IEH1" s="293"/>
      <c r="IEI1" s="293"/>
      <c r="IEJ1" s="293"/>
      <c r="IEK1" s="293"/>
      <c r="IEL1" s="293"/>
      <c r="IEM1" s="293"/>
      <c r="IEN1" s="293"/>
      <c r="IEO1" s="293"/>
      <c r="IEP1" s="293"/>
      <c r="IEQ1" s="293"/>
      <c r="IER1" s="293"/>
      <c r="IES1" s="293"/>
      <c r="IET1" s="293"/>
      <c r="IEU1" s="293"/>
      <c r="IEV1" s="293"/>
      <c r="IEW1" s="293"/>
      <c r="IEX1" s="293"/>
      <c r="IEY1" s="293"/>
      <c r="IEZ1" s="293"/>
      <c r="IFA1" s="293"/>
      <c r="IFB1" s="293"/>
      <c r="IFC1" s="293"/>
      <c r="IFD1" s="293"/>
      <c r="IFE1" s="293"/>
      <c r="IFF1" s="293"/>
      <c r="IFG1" s="293"/>
      <c r="IFH1" s="293"/>
      <c r="IFI1" s="293"/>
      <c r="IFJ1" s="293"/>
      <c r="IFK1" s="293"/>
      <c r="IFL1" s="293"/>
      <c r="IFM1" s="293"/>
      <c r="IFN1" s="293"/>
      <c r="IFO1" s="293"/>
      <c r="IFP1" s="293"/>
      <c r="IFQ1" s="293"/>
      <c r="IFR1" s="293"/>
      <c r="IFS1" s="293"/>
      <c r="IFT1" s="293"/>
      <c r="IFU1" s="293"/>
      <c r="IFV1" s="293"/>
      <c r="IFW1" s="293"/>
      <c r="IFX1" s="293"/>
      <c r="IFY1" s="293"/>
      <c r="IFZ1" s="293"/>
      <c r="IGA1" s="293"/>
      <c r="IGB1" s="293"/>
      <c r="IGC1" s="293"/>
      <c r="IGD1" s="293"/>
      <c r="IGE1" s="293"/>
      <c r="IGF1" s="293"/>
      <c r="IGG1" s="293"/>
      <c r="IGH1" s="293"/>
      <c r="IGI1" s="293"/>
      <c r="IGJ1" s="293"/>
      <c r="IGK1" s="293"/>
      <c r="IGL1" s="293"/>
      <c r="IGM1" s="293"/>
      <c r="IGN1" s="293"/>
      <c r="IGO1" s="293"/>
      <c r="IGP1" s="293"/>
      <c r="IGQ1" s="293"/>
      <c r="IGR1" s="293"/>
      <c r="IGS1" s="293"/>
      <c r="IGT1" s="293"/>
      <c r="IGU1" s="293"/>
      <c r="IGV1" s="293"/>
      <c r="IGW1" s="293"/>
      <c r="IGX1" s="293"/>
      <c r="IGY1" s="293"/>
      <c r="IGZ1" s="293"/>
      <c r="IHA1" s="293"/>
      <c r="IHB1" s="293"/>
      <c r="IHC1" s="293"/>
      <c r="IHD1" s="293"/>
      <c r="IHE1" s="293"/>
      <c r="IHF1" s="293"/>
      <c r="IHG1" s="293"/>
      <c r="IHH1" s="293"/>
      <c r="IHI1" s="293"/>
      <c r="IHJ1" s="293"/>
      <c r="IHK1" s="293"/>
      <c r="IHL1" s="293"/>
      <c r="IHM1" s="293"/>
      <c r="IHN1" s="293"/>
      <c r="IHO1" s="293"/>
      <c r="IHP1" s="293"/>
      <c r="IHQ1" s="293"/>
      <c r="IHR1" s="293"/>
      <c r="IHS1" s="293"/>
      <c r="IHT1" s="293"/>
      <c r="IHU1" s="293"/>
      <c r="IHV1" s="293"/>
      <c r="IHW1" s="293"/>
      <c r="IHX1" s="293"/>
      <c r="IHY1" s="293"/>
      <c r="IHZ1" s="293"/>
      <c r="IIA1" s="293"/>
      <c r="IIB1" s="293"/>
      <c r="IIC1" s="293"/>
      <c r="IID1" s="293"/>
      <c r="IIE1" s="293"/>
      <c r="IIF1" s="293"/>
      <c r="IIG1" s="293"/>
      <c r="IIH1" s="293"/>
      <c r="III1" s="293"/>
      <c r="IIJ1" s="293"/>
      <c r="IIK1" s="293"/>
      <c r="IIL1" s="293"/>
      <c r="IIM1" s="293"/>
      <c r="IIN1" s="293"/>
      <c r="IIO1" s="293"/>
      <c r="IIP1" s="293"/>
      <c r="IIQ1" s="293"/>
      <c r="IIR1" s="293"/>
      <c r="IIS1" s="293"/>
      <c r="IIT1" s="293"/>
      <c r="IIU1" s="293"/>
      <c r="IIV1" s="293"/>
      <c r="IIW1" s="293"/>
      <c r="IIX1" s="293"/>
      <c r="IIY1" s="293"/>
      <c r="IIZ1" s="293"/>
      <c r="IJA1" s="293"/>
      <c r="IJB1" s="293"/>
      <c r="IJC1" s="293"/>
      <c r="IJD1" s="293"/>
      <c r="IJE1" s="293"/>
      <c r="IJF1" s="293"/>
      <c r="IJG1" s="293"/>
      <c r="IJH1" s="293"/>
      <c r="IJI1" s="293"/>
      <c r="IJJ1" s="293"/>
      <c r="IJK1" s="293"/>
      <c r="IJL1" s="293"/>
      <c r="IJM1" s="293"/>
      <c r="IJN1" s="293"/>
      <c r="IJO1" s="293"/>
      <c r="IJP1" s="293"/>
      <c r="IJQ1" s="293"/>
      <c r="IJR1" s="293"/>
      <c r="IJS1" s="293"/>
      <c r="IJT1" s="293"/>
      <c r="IJU1" s="293"/>
      <c r="IJV1" s="293"/>
      <c r="IJW1" s="293"/>
      <c r="IJX1" s="293"/>
      <c r="IJY1" s="293"/>
      <c r="IJZ1" s="293"/>
      <c r="IKA1" s="293"/>
      <c r="IKB1" s="293"/>
      <c r="IKC1" s="293"/>
      <c r="IKD1" s="293"/>
      <c r="IKE1" s="293"/>
      <c r="IKF1" s="293"/>
      <c r="IKG1" s="293"/>
      <c r="IKH1" s="293"/>
      <c r="IKI1" s="293"/>
      <c r="IKJ1" s="293"/>
      <c r="IKK1" s="293"/>
      <c r="IKL1" s="293"/>
      <c r="IKM1" s="293"/>
      <c r="IKN1" s="293"/>
      <c r="IKO1" s="293"/>
      <c r="IKP1" s="293"/>
      <c r="IKQ1" s="293"/>
      <c r="IKR1" s="293"/>
      <c r="IKS1" s="293"/>
      <c r="IKT1" s="293"/>
      <c r="IKU1" s="293"/>
      <c r="IKV1" s="293"/>
      <c r="IKW1" s="293"/>
      <c r="IKX1" s="293"/>
      <c r="IKY1" s="293"/>
      <c r="IKZ1" s="293"/>
      <c r="ILA1" s="293"/>
      <c r="ILB1" s="293"/>
      <c r="ILC1" s="293"/>
      <c r="ILD1" s="293"/>
      <c r="ILE1" s="293"/>
      <c r="ILF1" s="293"/>
      <c r="ILG1" s="293"/>
      <c r="ILH1" s="293"/>
      <c r="ILI1" s="293"/>
      <c r="ILJ1" s="293"/>
      <c r="ILK1" s="293"/>
      <c r="ILL1" s="293"/>
      <c r="ILM1" s="293"/>
      <c r="ILN1" s="293"/>
      <c r="ILO1" s="293"/>
      <c r="ILP1" s="293"/>
      <c r="ILQ1" s="293"/>
      <c r="ILR1" s="293"/>
      <c r="ILS1" s="293"/>
      <c r="ILT1" s="293"/>
      <c r="ILU1" s="293"/>
      <c r="ILV1" s="293"/>
      <c r="ILW1" s="293"/>
      <c r="ILX1" s="293"/>
      <c r="ILY1" s="293"/>
      <c r="ILZ1" s="293"/>
      <c r="IMA1" s="293"/>
      <c r="IMB1" s="293"/>
      <c r="IMC1" s="293"/>
      <c r="IMD1" s="293"/>
      <c r="IME1" s="293"/>
      <c r="IMF1" s="293"/>
      <c r="IMG1" s="293"/>
      <c r="IMH1" s="293"/>
      <c r="IMI1" s="293"/>
      <c r="IMJ1" s="293"/>
      <c r="IMK1" s="293"/>
      <c r="IML1" s="293"/>
      <c r="IMM1" s="293"/>
      <c r="IMN1" s="293"/>
      <c r="IMO1" s="293"/>
      <c r="IMP1" s="293"/>
      <c r="IMQ1" s="293"/>
      <c r="IMR1" s="293"/>
      <c r="IMS1" s="293"/>
      <c r="IMT1" s="293"/>
      <c r="IMU1" s="293"/>
      <c r="IMV1" s="293"/>
      <c r="IMW1" s="293"/>
      <c r="IMX1" s="293"/>
      <c r="IMY1" s="293"/>
      <c r="IMZ1" s="293"/>
      <c r="INA1" s="293"/>
      <c r="INB1" s="293"/>
      <c r="INC1" s="293"/>
      <c r="IND1" s="293"/>
      <c r="INE1" s="293"/>
      <c r="INF1" s="293"/>
      <c r="ING1" s="293"/>
      <c r="INH1" s="293"/>
      <c r="INI1" s="293"/>
      <c r="INJ1" s="293"/>
      <c r="INK1" s="293"/>
      <c r="INL1" s="293"/>
      <c r="INM1" s="293"/>
      <c r="INN1" s="293"/>
      <c r="INO1" s="293"/>
      <c r="INP1" s="293"/>
      <c r="INQ1" s="293"/>
      <c r="INR1" s="293"/>
      <c r="INS1" s="293"/>
      <c r="INT1" s="293"/>
      <c r="INU1" s="293"/>
      <c r="INV1" s="293"/>
      <c r="INW1" s="293"/>
      <c r="INX1" s="293"/>
      <c r="INY1" s="293"/>
      <c r="INZ1" s="293"/>
      <c r="IOA1" s="293"/>
      <c r="IOB1" s="293"/>
      <c r="IOC1" s="293"/>
      <c r="IOD1" s="293"/>
      <c r="IOE1" s="293"/>
      <c r="IOF1" s="293"/>
      <c r="IOG1" s="293"/>
      <c r="IOH1" s="293"/>
      <c r="IOI1" s="293"/>
      <c r="IOJ1" s="293"/>
      <c r="IOK1" s="293"/>
      <c r="IOL1" s="293"/>
      <c r="IOM1" s="293"/>
      <c r="ION1" s="293"/>
      <c r="IOO1" s="293"/>
      <c r="IOP1" s="293"/>
      <c r="IOQ1" s="293"/>
      <c r="IOR1" s="293"/>
      <c r="IOS1" s="293"/>
      <c r="IOT1" s="293"/>
      <c r="IOU1" s="293"/>
      <c r="IOV1" s="293"/>
      <c r="IOW1" s="293"/>
      <c r="IOX1" s="293"/>
      <c r="IOY1" s="293"/>
      <c r="IOZ1" s="293"/>
      <c r="IPA1" s="293"/>
      <c r="IPB1" s="293"/>
      <c r="IPC1" s="293"/>
      <c r="IPD1" s="293"/>
      <c r="IPE1" s="293"/>
      <c r="IPF1" s="293"/>
      <c r="IPG1" s="293"/>
      <c r="IPH1" s="293"/>
      <c r="IPI1" s="293"/>
      <c r="IPJ1" s="293"/>
      <c r="IPK1" s="293"/>
      <c r="IPL1" s="293"/>
      <c r="IPM1" s="293"/>
      <c r="IPN1" s="293"/>
      <c r="IPO1" s="293"/>
      <c r="IPP1" s="293"/>
      <c r="IPQ1" s="293"/>
      <c r="IPR1" s="293"/>
      <c r="IPS1" s="293"/>
      <c r="IPT1" s="293"/>
      <c r="IPU1" s="293"/>
      <c r="IPV1" s="293"/>
      <c r="IPW1" s="293"/>
      <c r="IPX1" s="293"/>
      <c r="IPY1" s="293"/>
      <c r="IPZ1" s="293"/>
      <c r="IQA1" s="293"/>
      <c r="IQB1" s="293"/>
      <c r="IQC1" s="293"/>
      <c r="IQD1" s="293"/>
      <c r="IQE1" s="293"/>
      <c r="IQF1" s="293"/>
      <c r="IQG1" s="293"/>
      <c r="IQH1" s="293"/>
      <c r="IQI1" s="293"/>
      <c r="IQJ1" s="293"/>
      <c r="IQK1" s="293"/>
      <c r="IQL1" s="293"/>
      <c r="IQM1" s="293"/>
      <c r="IQN1" s="293"/>
      <c r="IQO1" s="293"/>
      <c r="IQP1" s="293"/>
      <c r="IQQ1" s="293"/>
      <c r="IQR1" s="293"/>
      <c r="IQS1" s="293"/>
      <c r="IQT1" s="293"/>
      <c r="IQU1" s="293"/>
      <c r="IQV1" s="293"/>
      <c r="IQW1" s="293"/>
      <c r="IQX1" s="293"/>
      <c r="IQY1" s="293"/>
      <c r="IQZ1" s="293"/>
      <c r="IRA1" s="293"/>
      <c r="IRB1" s="293"/>
      <c r="IRC1" s="293"/>
      <c r="IRD1" s="293"/>
      <c r="IRE1" s="293"/>
      <c r="IRF1" s="293"/>
      <c r="IRG1" s="293"/>
      <c r="IRH1" s="293"/>
      <c r="IRI1" s="293"/>
      <c r="IRJ1" s="293"/>
      <c r="IRK1" s="293"/>
      <c r="IRL1" s="293"/>
      <c r="IRM1" s="293"/>
      <c r="IRN1" s="293"/>
      <c r="IRO1" s="293"/>
      <c r="IRP1" s="293"/>
      <c r="IRQ1" s="293"/>
      <c r="IRR1" s="293"/>
      <c r="IRS1" s="293"/>
      <c r="IRT1" s="293"/>
      <c r="IRU1" s="293"/>
      <c r="IRV1" s="293"/>
      <c r="IRW1" s="293"/>
      <c r="IRX1" s="293"/>
      <c r="IRY1" s="293"/>
      <c r="IRZ1" s="293"/>
      <c r="ISA1" s="293"/>
      <c r="ISB1" s="293"/>
      <c r="ISC1" s="293"/>
      <c r="ISD1" s="293"/>
      <c r="ISE1" s="293"/>
      <c r="ISF1" s="293"/>
      <c r="ISG1" s="293"/>
      <c r="ISH1" s="293"/>
      <c r="ISI1" s="293"/>
      <c r="ISJ1" s="293"/>
      <c r="ISK1" s="293"/>
      <c r="ISL1" s="293"/>
      <c r="ISM1" s="293"/>
      <c r="ISN1" s="293"/>
      <c r="ISO1" s="293"/>
      <c r="ISP1" s="293"/>
      <c r="ISQ1" s="293"/>
      <c r="ISR1" s="293"/>
      <c r="ISS1" s="293"/>
      <c r="IST1" s="293"/>
      <c r="ISU1" s="293"/>
      <c r="ISV1" s="293"/>
      <c r="ISW1" s="293"/>
      <c r="ISX1" s="293"/>
      <c r="ISY1" s="293"/>
      <c r="ISZ1" s="293"/>
      <c r="ITA1" s="293"/>
      <c r="ITB1" s="293"/>
      <c r="ITC1" s="293"/>
      <c r="ITD1" s="293"/>
      <c r="ITE1" s="293"/>
      <c r="ITF1" s="293"/>
      <c r="ITG1" s="293"/>
      <c r="ITH1" s="293"/>
      <c r="ITI1" s="293"/>
      <c r="ITJ1" s="293"/>
      <c r="ITK1" s="293"/>
      <c r="ITL1" s="293"/>
      <c r="ITM1" s="293"/>
      <c r="ITN1" s="293"/>
      <c r="ITO1" s="293"/>
      <c r="ITP1" s="293"/>
      <c r="ITQ1" s="293"/>
      <c r="ITR1" s="293"/>
      <c r="ITS1" s="293"/>
      <c r="ITT1" s="293"/>
      <c r="ITU1" s="293"/>
      <c r="ITV1" s="293"/>
      <c r="ITW1" s="293"/>
      <c r="ITX1" s="293"/>
      <c r="ITY1" s="293"/>
      <c r="ITZ1" s="293"/>
      <c r="IUA1" s="293"/>
      <c r="IUB1" s="293"/>
      <c r="IUC1" s="293"/>
      <c r="IUD1" s="293"/>
      <c r="IUE1" s="293"/>
      <c r="IUF1" s="293"/>
      <c r="IUG1" s="293"/>
      <c r="IUH1" s="293"/>
      <c r="IUI1" s="293"/>
      <c r="IUJ1" s="293"/>
      <c r="IUK1" s="293"/>
      <c r="IUL1" s="293"/>
      <c r="IUM1" s="293"/>
      <c r="IUN1" s="293"/>
      <c r="IUO1" s="293"/>
      <c r="IUP1" s="293"/>
      <c r="IUQ1" s="293"/>
      <c r="IUR1" s="293"/>
      <c r="IUS1" s="293"/>
      <c r="IUT1" s="293"/>
      <c r="IUU1" s="293"/>
      <c r="IUV1" s="293"/>
      <c r="IUW1" s="293"/>
      <c r="IUX1" s="293"/>
      <c r="IUY1" s="293"/>
      <c r="IUZ1" s="293"/>
      <c r="IVA1" s="293"/>
      <c r="IVB1" s="293"/>
      <c r="IVC1" s="293"/>
      <c r="IVD1" s="293"/>
      <c r="IVE1" s="293"/>
      <c r="IVF1" s="293"/>
      <c r="IVG1" s="293"/>
      <c r="IVH1" s="293"/>
      <c r="IVI1" s="293"/>
      <c r="IVJ1" s="293"/>
      <c r="IVK1" s="293"/>
      <c r="IVL1" s="293"/>
      <c r="IVM1" s="293"/>
      <c r="IVN1" s="293"/>
      <c r="IVO1" s="293"/>
      <c r="IVP1" s="293"/>
      <c r="IVQ1" s="293"/>
      <c r="IVR1" s="293"/>
      <c r="IVS1" s="293"/>
      <c r="IVT1" s="293"/>
      <c r="IVU1" s="293"/>
      <c r="IVV1" s="293"/>
      <c r="IVW1" s="293"/>
      <c r="IVX1" s="293"/>
      <c r="IVY1" s="293"/>
      <c r="IVZ1" s="293"/>
      <c r="IWA1" s="293"/>
      <c r="IWB1" s="293"/>
      <c r="IWC1" s="293"/>
      <c r="IWD1" s="293"/>
      <c r="IWE1" s="293"/>
      <c r="IWF1" s="293"/>
      <c r="IWG1" s="293"/>
      <c r="IWH1" s="293"/>
      <c r="IWI1" s="293"/>
      <c r="IWJ1" s="293"/>
      <c r="IWK1" s="293"/>
      <c r="IWL1" s="293"/>
      <c r="IWM1" s="293"/>
      <c r="IWN1" s="293"/>
      <c r="IWO1" s="293"/>
      <c r="IWP1" s="293"/>
      <c r="IWQ1" s="293"/>
      <c r="IWR1" s="293"/>
      <c r="IWS1" s="293"/>
      <c r="IWT1" s="293"/>
      <c r="IWU1" s="293"/>
      <c r="IWV1" s="293"/>
      <c r="IWW1" s="293"/>
      <c r="IWX1" s="293"/>
      <c r="IWY1" s="293"/>
      <c r="IWZ1" s="293"/>
      <c r="IXA1" s="293"/>
      <c r="IXB1" s="293"/>
      <c r="IXC1" s="293"/>
      <c r="IXD1" s="293"/>
      <c r="IXE1" s="293"/>
      <c r="IXF1" s="293"/>
      <c r="IXG1" s="293"/>
      <c r="IXH1" s="293"/>
      <c r="IXI1" s="293"/>
      <c r="IXJ1" s="293"/>
      <c r="IXK1" s="293"/>
      <c r="IXL1" s="293"/>
      <c r="IXM1" s="293"/>
      <c r="IXN1" s="293"/>
      <c r="IXO1" s="293"/>
      <c r="IXP1" s="293"/>
      <c r="IXQ1" s="293"/>
      <c r="IXR1" s="293"/>
      <c r="IXS1" s="293"/>
      <c r="IXT1" s="293"/>
      <c r="IXU1" s="293"/>
      <c r="IXV1" s="293"/>
      <c r="IXW1" s="293"/>
      <c r="IXX1" s="293"/>
      <c r="IXY1" s="293"/>
      <c r="IXZ1" s="293"/>
      <c r="IYA1" s="293"/>
      <c r="IYB1" s="293"/>
      <c r="IYC1" s="293"/>
      <c r="IYD1" s="293"/>
      <c r="IYE1" s="293"/>
      <c r="IYF1" s="293"/>
      <c r="IYG1" s="293"/>
      <c r="IYH1" s="293"/>
      <c r="IYI1" s="293"/>
      <c r="IYJ1" s="293"/>
      <c r="IYK1" s="293"/>
      <c r="IYL1" s="293"/>
      <c r="IYM1" s="293"/>
      <c r="IYN1" s="293"/>
      <c r="IYO1" s="293"/>
      <c r="IYP1" s="293"/>
      <c r="IYQ1" s="293"/>
      <c r="IYR1" s="293"/>
      <c r="IYS1" s="293"/>
      <c r="IYT1" s="293"/>
      <c r="IYU1" s="293"/>
      <c r="IYV1" s="293"/>
      <c r="IYW1" s="293"/>
      <c r="IYX1" s="293"/>
      <c r="IYY1" s="293"/>
      <c r="IYZ1" s="293"/>
      <c r="IZA1" s="293"/>
      <c r="IZB1" s="293"/>
      <c r="IZC1" s="293"/>
      <c r="IZD1" s="293"/>
      <c r="IZE1" s="293"/>
      <c r="IZF1" s="293"/>
      <c r="IZG1" s="293"/>
      <c r="IZH1" s="293"/>
      <c r="IZI1" s="293"/>
      <c r="IZJ1" s="293"/>
      <c r="IZK1" s="293"/>
      <c r="IZL1" s="293"/>
      <c r="IZM1" s="293"/>
      <c r="IZN1" s="293"/>
      <c r="IZO1" s="293"/>
      <c r="IZP1" s="293"/>
      <c r="IZQ1" s="293"/>
      <c r="IZR1" s="293"/>
      <c r="IZS1" s="293"/>
      <c r="IZT1" s="293"/>
      <c r="IZU1" s="293"/>
      <c r="IZV1" s="293"/>
      <c r="IZW1" s="293"/>
      <c r="IZX1" s="293"/>
      <c r="IZY1" s="293"/>
      <c r="IZZ1" s="293"/>
      <c r="JAA1" s="293"/>
      <c r="JAB1" s="293"/>
      <c r="JAC1" s="293"/>
      <c r="JAD1" s="293"/>
      <c r="JAE1" s="293"/>
      <c r="JAF1" s="293"/>
      <c r="JAG1" s="293"/>
      <c r="JAH1" s="293"/>
      <c r="JAI1" s="293"/>
      <c r="JAJ1" s="293"/>
      <c r="JAK1" s="293"/>
      <c r="JAL1" s="293"/>
      <c r="JAM1" s="293"/>
      <c r="JAN1" s="293"/>
      <c r="JAO1" s="293"/>
      <c r="JAP1" s="293"/>
      <c r="JAQ1" s="293"/>
      <c r="JAR1" s="293"/>
      <c r="JAS1" s="293"/>
      <c r="JAT1" s="293"/>
      <c r="JAU1" s="293"/>
      <c r="JAV1" s="293"/>
      <c r="JAW1" s="293"/>
      <c r="JAX1" s="293"/>
      <c r="JAY1" s="293"/>
      <c r="JAZ1" s="293"/>
      <c r="JBA1" s="293"/>
      <c r="JBB1" s="293"/>
      <c r="JBC1" s="293"/>
      <c r="JBD1" s="293"/>
      <c r="JBE1" s="293"/>
      <c r="JBF1" s="293"/>
      <c r="JBG1" s="293"/>
      <c r="JBH1" s="293"/>
      <c r="JBI1" s="293"/>
      <c r="JBJ1" s="293"/>
      <c r="JBK1" s="293"/>
      <c r="JBL1" s="293"/>
      <c r="JBM1" s="293"/>
      <c r="JBN1" s="293"/>
      <c r="JBO1" s="293"/>
      <c r="JBP1" s="293"/>
      <c r="JBQ1" s="293"/>
      <c r="JBR1" s="293"/>
      <c r="JBS1" s="293"/>
      <c r="JBT1" s="293"/>
      <c r="JBU1" s="293"/>
      <c r="JBV1" s="293"/>
      <c r="JBW1" s="293"/>
      <c r="JBX1" s="293"/>
      <c r="JBY1" s="293"/>
      <c r="JBZ1" s="293"/>
      <c r="JCA1" s="293"/>
      <c r="JCB1" s="293"/>
      <c r="JCC1" s="293"/>
      <c r="JCD1" s="293"/>
      <c r="JCE1" s="293"/>
      <c r="JCF1" s="293"/>
      <c r="JCG1" s="293"/>
      <c r="JCH1" s="293"/>
      <c r="JCI1" s="293"/>
      <c r="JCJ1" s="293"/>
      <c r="JCK1" s="293"/>
      <c r="JCL1" s="293"/>
      <c r="JCM1" s="293"/>
      <c r="JCN1" s="293"/>
      <c r="JCO1" s="293"/>
      <c r="JCP1" s="293"/>
      <c r="JCQ1" s="293"/>
      <c r="JCR1" s="293"/>
      <c r="JCS1" s="293"/>
      <c r="JCT1" s="293"/>
      <c r="JCU1" s="293"/>
      <c r="JCV1" s="293"/>
      <c r="JCW1" s="293"/>
      <c r="JCX1" s="293"/>
      <c r="JCY1" s="293"/>
      <c r="JCZ1" s="293"/>
      <c r="JDA1" s="293"/>
      <c r="JDB1" s="293"/>
      <c r="JDC1" s="293"/>
      <c r="JDD1" s="293"/>
      <c r="JDE1" s="293"/>
      <c r="JDF1" s="293"/>
      <c r="JDG1" s="293"/>
      <c r="JDH1" s="293"/>
      <c r="JDI1" s="293"/>
      <c r="JDJ1" s="293"/>
      <c r="JDK1" s="293"/>
      <c r="JDL1" s="293"/>
      <c r="JDM1" s="293"/>
      <c r="JDN1" s="293"/>
      <c r="JDO1" s="293"/>
      <c r="JDP1" s="293"/>
      <c r="JDQ1" s="293"/>
      <c r="JDR1" s="293"/>
      <c r="JDS1" s="293"/>
      <c r="JDT1" s="293"/>
      <c r="JDU1" s="293"/>
      <c r="JDV1" s="293"/>
      <c r="JDW1" s="293"/>
      <c r="JDX1" s="293"/>
      <c r="JDY1" s="293"/>
      <c r="JDZ1" s="293"/>
      <c r="JEA1" s="293"/>
      <c r="JEB1" s="293"/>
      <c r="JEC1" s="293"/>
      <c r="JED1" s="293"/>
      <c r="JEE1" s="293"/>
      <c r="JEF1" s="293"/>
      <c r="JEG1" s="293"/>
      <c r="JEH1" s="293"/>
      <c r="JEI1" s="293"/>
      <c r="JEJ1" s="293"/>
      <c r="JEK1" s="293"/>
      <c r="JEL1" s="293"/>
      <c r="JEM1" s="293"/>
      <c r="JEN1" s="293"/>
      <c r="JEO1" s="293"/>
      <c r="JEP1" s="293"/>
      <c r="JEQ1" s="293"/>
      <c r="JER1" s="293"/>
      <c r="JES1" s="293"/>
      <c r="JET1" s="293"/>
      <c r="JEU1" s="293"/>
      <c r="JEV1" s="293"/>
      <c r="JEW1" s="293"/>
      <c r="JEX1" s="293"/>
      <c r="JEY1" s="293"/>
      <c r="JEZ1" s="293"/>
      <c r="JFA1" s="293"/>
      <c r="JFB1" s="293"/>
      <c r="JFC1" s="293"/>
      <c r="JFD1" s="293"/>
      <c r="JFE1" s="293"/>
      <c r="JFF1" s="293"/>
      <c r="JFG1" s="293"/>
      <c r="JFH1" s="293"/>
      <c r="JFI1" s="293"/>
      <c r="JFJ1" s="293"/>
      <c r="JFK1" s="293"/>
      <c r="JFL1" s="293"/>
      <c r="JFM1" s="293"/>
      <c r="JFN1" s="293"/>
      <c r="JFO1" s="293"/>
      <c r="JFP1" s="293"/>
      <c r="JFQ1" s="293"/>
      <c r="JFR1" s="293"/>
      <c r="JFS1" s="293"/>
      <c r="JFT1" s="293"/>
      <c r="JFU1" s="293"/>
      <c r="JFV1" s="293"/>
      <c r="JFW1" s="293"/>
      <c r="JFX1" s="293"/>
      <c r="JFY1" s="293"/>
      <c r="JFZ1" s="293"/>
      <c r="JGA1" s="293"/>
      <c r="JGB1" s="293"/>
      <c r="JGC1" s="293"/>
      <c r="JGD1" s="293"/>
      <c r="JGE1" s="293"/>
      <c r="JGF1" s="293"/>
      <c r="JGG1" s="293"/>
      <c r="JGH1" s="293"/>
      <c r="JGI1" s="293"/>
      <c r="JGJ1" s="293"/>
      <c r="JGK1" s="293"/>
      <c r="JGL1" s="293"/>
      <c r="JGM1" s="293"/>
      <c r="JGN1" s="293"/>
      <c r="JGO1" s="293"/>
      <c r="JGP1" s="293"/>
      <c r="JGQ1" s="293"/>
      <c r="JGR1" s="293"/>
      <c r="JGS1" s="293"/>
      <c r="JGT1" s="293"/>
      <c r="JGU1" s="293"/>
      <c r="JGV1" s="293"/>
      <c r="JGW1" s="293"/>
      <c r="JGX1" s="293"/>
      <c r="JGY1" s="293"/>
      <c r="JGZ1" s="293"/>
      <c r="JHA1" s="293"/>
      <c r="JHB1" s="293"/>
      <c r="JHC1" s="293"/>
      <c r="JHD1" s="293"/>
      <c r="JHE1" s="293"/>
      <c r="JHF1" s="293"/>
      <c r="JHG1" s="293"/>
      <c r="JHH1" s="293"/>
      <c r="JHI1" s="293"/>
      <c r="JHJ1" s="293"/>
      <c r="JHK1" s="293"/>
      <c r="JHL1" s="293"/>
      <c r="JHM1" s="293"/>
      <c r="JHN1" s="293"/>
      <c r="JHO1" s="293"/>
      <c r="JHP1" s="293"/>
      <c r="JHQ1" s="293"/>
      <c r="JHR1" s="293"/>
      <c r="JHS1" s="293"/>
      <c r="JHT1" s="293"/>
      <c r="JHU1" s="293"/>
      <c r="JHV1" s="293"/>
      <c r="JHW1" s="293"/>
      <c r="JHX1" s="293"/>
      <c r="JHY1" s="293"/>
      <c r="JHZ1" s="293"/>
      <c r="JIA1" s="293"/>
      <c r="JIB1" s="293"/>
      <c r="JIC1" s="293"/>
      <c r="JID1" s="293"/>
      <c r="JIE1" s="293"/>
      <c r="JIF1" s="293"/>
      <c r="JIG1" s="293"/>
      <c r="JIH1" s="293"/>
      <c r="JII1" s="293"/>
      <c r="JIJ1" s="293"/>
      <c r="JIK1" s="293"/>
      <c r="JIL1" s="293"/>
      <c r="JIM1" s="293"/>
      <c r="JIN1" s="293"/>
      <c r="JIO1" s="293"/>
      <c r="JIP1" s="293"/>
      <c r="JIQ1" s="293"/>
      <c r="JIR1" s="293"/>
      <c r="JIS1" s="293"/>
      <c r="JIT1" s="293"/>
      <c r="JIU1" s="293"/>
      <c r="JIV1" s="293"/>
      <c r="JIW1" s="293"/>
      <c r="JIX1" s="293"/>
      <c r="JIY1" s="293"/>
      <c r="JIZ1" s="293"/>
      <c r="JJA1" s="293"/>
      <c r="JJB1" s="293"/>
      <c r="JJC1" s="293"/>
      <c r="JJD1" s="293"/>
      <c r="JJE1" s="293"/>
      <c r="JJF1" s="293"/>
      <c r="JJG1" s="293"/>
      <c r="JJH1" s="293"/>
      <c r="JJI1" s="293"/>
      <c r="JJJ1" s="293"/>
      <c r="JJK1" s="293"/>
      <c r="JJL1" s="293"/>
      <c r="JJM1" s="293"/>
      <c r="JJN1" s="293"/>
      <c r="JJO1" s="293"/>
      <c r="JJP1" s="293"/>
      <c r="JJQ1" s="293"/>
      <c r="JJR1" s="293"/>
      <c r="JJS1" s="293"/>
      <c r="JJT1" s="293"/>
      <c r="JJU1" s="293"/>
      <c r="JJV1" s="293"/>
      <c r="JJW1" s="293"/>
      <c r="JJX1" s="293"/>
      <c r="JJY1" s="293"/>
      <c r="JJZ1" s="293"/>
      <c r="JKA1" s="293"/>
      <c r="JKB1" s="293"/>
      <c r="JKC1" s="293"/>
      <c r="JKD1" s="293"/>
      <c r="JKE1" s="293"/>
      <c r="JKF1" s="293"/>
      <c r="JKG1" s="293"/>
      <c r="JKH1" s="293"/>
      <c r="JKI1" s="293"/>
      <c r="JKJ1" s="293"/>
      <c r="JKK1" s="293"/>
      <c r="JKL1" s="293"/>
      <c r="JKM1" s="293"/>
      <c r="JKN1" s="293"/>
      <c r="JKO1" s="293"/>
      <c r="JKP1" s="293"/>
      <c r="JKQ1" s="293"/>
      <c r="JKR1" s="293"/>
      <c r="JKS1" s="293"/>
      <c r="JKT1" s="293"/>
      <c r="JKU1" s="293"/>
      <c r="JKV1" s="293"/>
      <c r="JKW1" s="293"/>
      <c r="JKX1" s="293"/>
      <c r="JKY1" s="293"/>
      <c r="JKZ1" s="293"/>
      <c r="JLA1" s="293"/>
      <c r="JLB1" s="293"/>
      <c r="JLC1" s="293"/>
      <c r="JLD1" s="293"/>
      <c r="JLE1" s="293"/>
      <c r="JLF1" s="293"/>
      <c r="JLG1" s="293"/>
      <c r="JLH1" s="293"/>
      <c r="JLI1" s="293"/>
      <c r="JLJ1" s="293"/>
      <c r="JLK1" s="293"/>
      <c r="JLL1" s="293"/>
      <c r="JLM1" s="293"/>
      <c r="JLN1" s="293"/>
      <c r="JLO1" s="293"/>
      <c r="JLP1" s="293"/>
      <c r="JLQ1" s="293"/>
      <c r="JLR1" s="293"/>
      <c r="JLS1" s="293"/>
      <c r="JLT1" s="293"/>
      <c r="JLU1" s="293"/>
      <c r="JLV1" s="293"/>
      <c r="JLW1" s="293"/>
      <c r="JLX1" s="293"/>
      <c r="JLY1" s="293"/>
      <c r="JLZ1" s="293"/>
      <c r="JMA1" s="293"/>
      <c r="JMB1" s="293"/>
      <c r="JMC1" s="293"/>
      <c r="JMD1" s="293"/>
      <c r="JME1" s="293"/>
      <c r="JMF1" s="293"/>
      <c r="JMG1" s="293"/>
      <c r="JMH1" s="293"/>
      <c r="JMI1" s="293"/>
      <c r="JMJ1" s="293"/>
      <c r="JMK1" s="293"/>
      <c r="JML1" s="293"/>
      <c r="JMM1" s="293"/>
      <c r="JMN1" s="293"/>
      <c r="JMO1" s="293"/>
      <c r="JMP1" s="293"/>
      <c r="JMQ1" s="293"/>
      <c r="JMR1" s="293"/>
      <c r="JMS1" s="293"/>
      <c r="JMT1" s="293"/>
      <c r="JMU1" s="293"/>
      <c r="JMV1" s="293"/>
      <c r="JMW1" s="293"/>
      <c r="JMX1" s="293"/>
      <c r="JMY1" s="293"/>
      <c r="JMZ1" s="293"/>
      <c r="JNA1" s="293"/>
      <c r="JNB1" s="293"/>
      <c r="JNC1" s="293"/>
      <c r="JND1" s="293"/>
      <c r="JNE1" s="293"/>
      <c r="JNF1" s="293"/>
      <c r="JNG1" s="293"/>
      <c r="JNH1" s="293"/>
      <c r="JNI1" s="293"/>
      <c r="JNJ1" s="293"/>
      <c r="JNK1" s="293"/>
      <c r="JNL1" s="293"/>
      <c r="JNM1" s="293"/>
      <c r="JNN1" s="293"/>
      <c r="JNO1" s="293"/>
      <c r="JNP1" s="293"/>
      <c r="JNQ1" s="293"/>
      <c r="JNR1" s="293"/>
      <c r="JNS1" s="293"/>
      <c r="JNT1" s="293"/>
      <c r="JNU1" s="293"/>
      <c r="JNV1" s="293"/>
      <c r="JNW1" s="293"/>
      <c r="JNX1" s="293"/>
      <c r="JNY1" s="293"/>
      <c r="JNZ1" s="293"/>
      <c r="JOA1" s="293"/>
      <c r="JOB1" s="293"/>
      <c r="JOC1" s="293"/>
      <c r="JOD1" s="293"/>
      <c r="JOE1" s="293"/>
      <c r="JOF1" s="293"/>
      <c r="JOG1" s="293"/>
      <c r="JOH1" s="293"/>
      <c r="JOI1" s="293"/>
      <c r="JOJ1" s="293"/>
      <c r="JOK1" s="293"/>
      <c r="JOL1" s="293"/>
      <c r="JOM1" s="293"/>
      <c r="JON1" s="293"/>
      <c r="JOO1" s="293"/>
      <c r="JOP1" s="293"/>
      <c r="JOQ1" s="293"/>
      <c r="JOR1" s="293"/>
      <c r="JOS1" s="293"/>
      <c r="JOT1" s="293"/>
      <c r="JOU1" s="293"/>
      <c r="JOV1" s="293"/>
      <c r="JOW1" s="293"/>
      <c r="JOX1" s="293"/>
      <c r="JOY1" s="293"/>
      <c r="JOZ1" s="293"/>
      <c r="JPA1" s="293"/>
      <c r="JPB1" s="293"/>
      <c r="JPC1" s="293"/>
      <c r="JPD1" s="293"/>
      <c r="JPE1" s="293"/>
      <c r="JPF1" s="293"/>
      <c r="JPG1" s="293"/>
      <c r="JPH1" s="293"/>
      <c r="JPI1" s="293"/>
      <c r="JPJ1" s="293"/>
      <c r="JPK1" s="293"/>
      <c r="JPL1" s="293"/>
      <c r="JPM1" s="293"/>
      <c r="JPN1" s="293"/>
      <c r="JPO1" s="293"/>
      <c r="JPP1" s="293"/>
      <c r="JPQ1" s="293"/>
      <c r="JPR1" s="293"/>
      <c r="JPS1" s="293"/>
      <c r="JPT1" s="293"/>
      <c r="JPU1" s="293"/>
      <c r="JPV1" s="293"/>
      <c r="JPW1" s="293"/>
      <c r="JPX1" s="293"/>
      <c r="JPY1" s="293"/>
      <c r="JPZ1" s="293"/>
      <c r="JQA1" s="293"/>
      <c r="JQB1" s="293"/>
      <c r="JQC1" s="293"/>
      <c r="JQD1" s="293"/>
      <c r="JQE1" s="293"/>
      <c r="JQF1" s="293"/>
      <c r="JQG1" s="293"/>
      <c r="JQH1" s="293"/>
      <c r="JQI1" s="293"/>
      <c r="JQJ1" s="293"/>
      <c r="JQK1" s="293"/>
      <c r="JQL1" s="293"/>
      <c r="JQM1" s="293"/>
      <c r="JQN1" s="293"/>
      <c r="JQO1" s="293"/>
      <c r="JQP1" s="293"/>
      <c r="JQQ1" s="293"/>
      <c r="JQR1" s="293"/>
      <c r="JQS1" s="293"/>
      <c r="JQT1" s="293"/>
      <c r="JQU1" s="293"/>
      <c r="JQV1" s="293"/>
      <c r="JQW1" s="293"/>
      <c r="JQX1" s="293"/>
      <c r="JQY1" s="293"/>
      <c r="JQZ1" s="293"/>
      <c r="JRA1" s="293"/>
      <c r="JRB1" s="293"/>
      <c r="JRC1" s="293"/>
      <c r="JRD1" s="293"/>
      <c r="JRE1" s="293"/>
      <c r="JRF1" s="293"/>
      <c r="JRG1" s="293"/>
      <c r="JRH1" s="293"/>
      <c r="JRI1" s="293"/>
      <c r="JRJ1" s="293"/>
      <c r="JRK1" s="293"/>
      <c r="JRL1" s="293"/>
      <c r="JRM1" s="293"/>
      <c r="JRN1" s="293"/>
      <c r="JRO1" s="293"/>
      <c r="JRP1" s="293"/>
      <c r="JRQ1" s="293"/>
      <c r="JRR1" s="293"/>
      <c r="JRS1" s="293"/>
      <c r="JRT1" s="293"/>
      <c r="JRU1" s="293"/>
      <c r="JRV1" s="293"/>
      <c r="JRW1" s="293"/>
      <c r="JRX1" s="293"/>
      <c r="JRY1" s="293"/>
      <c r="JRZ1" s="293"/>
      <c r="JSA1" s="293"/>
      <c r="JSB1" s="293"/>
      <c r="JSC1" s="293"/>
      <c r="JSD1" s="293"/>
      <c r="JSE1" s="293"/>
      <c r="JSF1" s="293"/>
      <c r="JSG1" s="293"/>
      <c r="JSH1" s="293"/>
      <c r="JSI1" s="293"/>
      <c r="JSJ1" s="293"/>
      <c r="JSK1" s="293"/>
      <c r="JSL1" s="293"/>
      <c r="JSM1" s="293"/>
      <c r="JSN1" s="293"/>
      <c r="JSO1" s="293"/>
      <c r="JSP1" s="293"/>
      <c r="JSQ1" s="293"/>
      <c r="JSR1" s="293"/>
      <c r="JSS1" s="293"/>
      <c r="JST1" s="293"/>
      <c r="JSU1" s="293"/>
      <c r="JSV1" s="293"/>
      <c r="JSW1" s="293"/>
      <c r="JSX1" s="293"/>
      <c r="JSY1" s="293"/>
      <c r="JSZ1" s="293"/>
      <c r="JTA1" s="293"/>
      <c r="JTB1" s="293"/>
      <c r="JTC1" s="293"/>
      <c r="JTD1" s="293"/>
      <c r="JTE1" s="293"/>
      <c r="JTF1" s="293"/>
      <c r="JTG1" s="293"/>
      <c r="JTH1" s="293"/>
      <c r="JTI1" s="293"/>
      <c r="JTJ1" s="293"/>
      <c r="JTK1" s="293"/>
      <c r="JTL1" s="293"/>
      <c r="JTM1" s="293"/>
      <c r="JTN1" s="293"/>
      <c r="JTO1" s="293"/>
      <c r="JTP1" s="293"/>
      <c r="JTQ1" s="293"/>
      <c r="JTR1" s="293"/>
      <c r="JTS1" s="293"/>
      <c r="JTT1" s="293"/>
      <c r="JTU1" s="293"/>
      <c r="JTV1" s="293"/>
      <c r="JTW1" s="293"/>
      <c r="JTX1" s="293"/>
      <c r="JTY1" s="293"/>
      <c r="JTZ1" s="293"/>
      <c r="JUA1" s="293"/>
      <c r="JUB1" s="293"/>
      <c r="JUC1" s="293"/>
      <c r="JUD1" s="293"/>
      <c r="JUE1" s="293"/>
      <c r="JUF1" s="293"/>
      <c r="JUG1" s="293"/>
      <c r="JUH1" s="293"/>
      <c r="JUI1" s="293"/>
      <c r="JUJ1" s="293"/>
      <c r="JUK1" s="293"/>
      <c r="JUL1" s="293"/>
      <c r="JUM1" s="293"/>
      <c r="JUN1" s="293"/>
      <c r="JUO1" s="293"/>
      <c r="JUP1" s="293"/>
      <c r="JUQ1" s="293"/>
      <c r="JUR1" s="293"/>
      <c r="JUS1" s="293"/>
      <c r="JUT1" s="293"/>
      <c r="JUU1" s="293"/>
      <c r="JUV1" s="293"/>
      <c r="JUW1" s="293"/>
      <c r="JUX1" s="293"/>
      <c r="JUY1" s="293"/>
      <c r="JUZ1" s="293"/>
      <c r="JVA1" s="293"/>
      <c r="JVB1" s="293"/>
      <c r="JVC1" s="293"/>
      <c r="JVD1" s="293"/>
      <c r="JVE1" s="293"/>
      <c r="JVF1" s="293"/>
      <c r="JVG1" s="293"/>
      <c r="JVH1" s="293"/>
      <c r="JVI1" s="293"/>
      <c r="JVJ1" s="293"/>
      <c r="JVK1" s="293"/>
      <c r="JVL1" s="293"/>
      <c r="JVM1" s="293"/>
      <c r="JVN1" s="293"/>
      <c r="JVO1" s="293"/>
      <c r="JVP1" s="293"/>
      <c r="JVQ1" s="293"/>
      <c r="JVR1" s="293"/>
      <c r="JVS1" s="293"/>
      <c r="JVT1" s="293"/>
      <c r="JVU1" s="293"/>
      <c r="JVV1" s="293"/>
      <c r="JVW1" s="293"/>
      <c r="JVX1" s="293"/>
      <c r="JVY1" s="293"/>
      <c r="JVZ1" s="293"/>
      <c r="JWA1" s="293"/>
      <c r="JWB1" s="293"/>
      <c r="JWC1" s="293"/>
      <c r="JWD1" s="293"/>
      <c r="JWE1" s="293"/>
      <c r="JWF1" s="293"/>
      <c r="JWG1" s="293"/>
      <c r="JWH1" s="293"/>
      <c r="JWI1" s="293"/>
      <c r="JWJ1" s="293"/>
      <c r="JWK1" s="293"/>
      <c r="JWL1" s="293"/>
      <c r="JWM1" s="293"/>
      <c r="JWN1" s="293"/>
      <c r="JWO1" s="293"/>
      <c r="JWP1" s="293"/>
      <c r="JWQ1" s="293"/>
      <c r="JWR1" s="293"/>
      <c r="JWS1" s="293"/>
      <c r="JWT1" s="293"/>
      <c r="JWU1" s="293"/>
      <c r="JWV1" s="293"/>
      <c r="JWW1" s="293"/>
      <c r="JWX1" s="293"/>
      <c r="JWY1" s="293"/>
      <c r="JWZ1" s="293"/>
      <c r="JXA1" s="293"/>
      <c r="JXB1" s="293"/>
      <c r="JXC1" s="293"/>
      <c r="JXD1" s="293"/>
      <c r="JXE1" s="293"/>
      <c r="JXF1" s="293"/>
      <c r="JXG1" s="293"/>
      <c r="JXH1" s="293"/>
      <c r="JXI1" s="293"/>
      <c r="JXJ1" s="293"/>
      <c r="JXK1" s="293"/>
      <c r="JXL1" s="293"/>
      <c r="JXM1" s="293"/>
      <c r="JXN1" s="293"/>
      <c r="JXO1" s="293"/>
      <c r="JXP1" s="293"/>
      <c r="JXQ1" s="293"/>
      <c r="JXR1" s="293"/>
      <c r="JXS1" s="293"/>
      <c r="JXT1" s="293"/>
      <c r="JXU1" s="293"/>
      <c r="JXV1" s="293"/>
      <c r="JXW1" s="293"/>
      <c r="JXX1" s="293"/>
      <c r="JXY1" s="293"/>
      <c r="JXZ1" s="293"/>
      <c r="JYA1" s="293"/>
      <c r="JYB1" s="293"/>
      <c r="JYC1" s="293"/>
      <c r="JYD1" s="293"/>
      <c r="JYE1" s="293"/>
      <c r="JYF1" s="293"/>
      <c r="JYG1" s="293"/>
      <c r="JYH1" s="293"/>
      <c r="JYI1" s="293"/>
      <c r="JYJ1" s="293"/>
      <c r="JYK1" s="293"/>
      <c r="JYL1" s="293"/>
      <c r="JYM1" s="293"/>
      <c r="JYN1" s="293"/>
      <c r="JYO1" s="293"/>
      <c r="JYP1" s="293"/>
      <c r="JYQ1" s="293"/>
      <c r="JYR1" s="293"/>
      <c r="JYS1" s="293"/>
      <c r="JYT1" s="293"/>
      <c r="JYU1" s="293"/>
      <c r="JYV1" s="293"/>
      <c r="JYW1" s="293"/>
      <c r="JYX1" s="293"/>
      <c r="JYY1" s="293"/>
      <c r="JYZ1" s="293"/>
      <c r="JZA1" s="293"/>
      <c r="JZB1" s="293"/>
      <c r="JZC1" s="293"/>
      <c r="JZD1" s="293"/>
      <c r="JZE1" s="293"/>
      <c r="JZF1" s="293"/>
      <c r="JZG1" s="293"/>
      <c r="JZH1" s="293"/>
      <c r="JZI1" s="293"/>
      <c r="JZJ1" s="293"/>
      <c r="JZK1" s="293"/>
      <c r="JZL1" s="293"/>
      <c r="JZM1" s="293"/>
      <c r="JZN1" s="293"/>
      <c r="JZO1" s="293"/>
      <c r="JZP1" s="293"/>
      <c r="JZQ1" s="293"/>
      <c r="JZR1" s="293"/>
      <c r="JZS1" s="293"/>
      <c r="JZT1" s="293"/>
      <c r="JZU1" s="293"/>
      <c r="JZV1" s="293"/>
      <c r="JZW1" s="293"/>
      <c r="JZX1" s="293"/>
      <c r="JZY1" s="293"/>
      <c r="JZZ1" s="293"/>
      <c r="KAA1" s="293"/>
      <c r="KAB1" s="293"/>
      <c r="KAC1" s="293"/>
      <c r="KAD1" s="293"/>
      <c r="KAE1" s="293"/>
      <c r="KAF1" s="293"/>
      <c r="KAG1" s="293"/>
      <c r="KAH1" s="293"/>
      <c r="KAI1" s="293"/>
      <c r="KAJ1" s="293"/>
      <c r="KAK1" s="293"/>
      <c r="KAL1" s="293"/>
      <c r="KAM1" s="293"/>
      <c r="KAN1" s="293"/>
      <c r="KAO1" s="293"/>
      <c r="KAP1" s="293"/>
      <c r="KAQ1" s="293"/>
      <c r="KAR1" s="293"/>
      <c r="KAS1" s="293"/>
      <c r="KAT1" s="293"/>
      <c r="KAU1" s="293"/>
      <c r="KAV1" s="293"/>
      <c r="KAW1" s="293"/>
      <c r="KAX1" s="293"/>
      <c r="KAY1" s="293"/>
      <c r="KAZ1" s="293"/>
      <c r="KBA1" s="293"/>
      <c r="KBB1" s="293"/>
      <c r="KBC1" s="293"/>
      <c r="KBD1" s="293"/>
      <c r="KBE1" s="293"/>
      <c r="KBF1" s="293"/>
      <c r="KBG1" s="293"/>
      <c r="KBH1" s="293"/>
      <c r="KBI1" s="293"/>
      <c r="KBJ1" s="293"/>
      <c r="KBK1" s="293"/>
      <c r="KBL1" s="293"/>
      <c r="KBM1" s="293"/>
      <c r="KBN1" s="293"/>
      <c r="KBO1" s="293"/>
      <c r="KBP1" s="293"/>
      <c r="KBQ1" s="293"/>
      <c r="KBR1" s="293"/>
      <c r="KBS1" s="293"/>
      <c r="KBT1" s="293"/>
      <c r="KBU1" s="293"/>
      <c r="KBV1" s="293"/>
      <c r="KBW1" s="293"/>
      <c r="KBX1" s="293"/>
      <c r="KBY1" s="293"/>
      <c r="KBZ1" s="293"/>
      <c r="KCA1" s="293"/>
      <c r="KCB1" s="293"/>
      <c r="KCC1" s="293"/>
      <c r="KCD1" s="293"/>
      <c r="KCE1" s="293"/>
      <c r="KCF1" s="293"/>
      <c r="KCG1" s="293"/>
      <c r="KCH1" s="293"/>
      <c r="KCI1" s="293"/>
      <c r="KCJ1" s="293"/>
      <c r="KCK1" s="293"/>
      <c r="KCL1" s="293"/>
      <c r="KCM1" s="293"/>
      <c r="KCN1" s="293"/>
      <c r="KCO1" s="293"/>
      <c r="KCP1" s="293"/>
      <c r="KCQ1" s="293"/>
      <c r="KCR1" s="293"/>
      <c r="KCS1" s="293"/>
      <c r="KCT1" s="293"/>
      <c r="KCU1" s="293"/>
      <c r="KCV1" s="293"/>
      <c r="KCW1" s="293"/>
      <c r="KCX1" s="293"/>
      <c r="KCY1" s="293"/>
      <c r="KCZ1" s="293"/>
      <c r="KDA1" s="293"/>
      <c r="KDB1" s="293"/>
      <c r="KDC1" s="293"/>
      <c r="KDD1" s="293"/>
      <c r="KDE1" s="293"/>
      <c r="KDF1" s="293"/>
      <c r="KDG1" s="293"/>
      <c r="KDH1" s="293"/>
      <c r="KDI1" s="293"/>
      <c r="KDJ1" s="293"/>
      <c r="KDK1" s="293"/>
      <c r="KDL1" s="293"/>
      <c r="KDM1" s="293"/>
      <c r="KDN1" s="293"/>
      <c r="KDO1" s="293"/>
      <c r="KDP1" s="293"/>
      <c r="KDQ1" s="293"/>
      <c r="KDR1" s="293"/>
      <c r="KDS1" s="293"/>
      <c r="KDT1" s="293"/>
      <c r="KDU1" s="293"/>
      <c r="KDV1" s="293"/>
      <c r="KDW1" s="293"/>
      <c r="KDX1" s="293"/>
      <c r="KDY1" s="293"/>
      <c r="KDZ1" s="293"/>
      <c r="KEA1" s="293"/>
      <c r="KEB1" s="293"/>
      <c r="KEC1" s="293"/>
      <c r="KED1" s="293"/>
      <c r="KEE1" s="293"/>
      <c r="KEF1" s="293"/>
      <c r="KEG1" s="293"/>
      <c r="KEH1" s="293"/>
      <c r="KEI1" s="293"/>
      <c r="KEJ1" s="293"/>
      <c r="KEK1" s="293"/>
      <c r="KEL1" s="293"/>
      <c r="KEM1" s="293"/>
      <c r="KEN1" s="293"/>
      <c r="KEO1" s="293"/>
      <c r="KEP1" s="293"/>
      <c r="KEQ1" s="293"/>
      <c r="KER1" s="293"/>
      <c r="KES1" s="293"/>
      <c r="KET1" s="293"/>
      <c r="KEU1" s="293"/>
      <c r="KEV1" s="293"/>
      <c r="KEW1" s="293"/>
      <c r="KEX1" s="293"/>
      <c r="KEY1" s="293"/>
      <c r="KEZ1" s="293"/>
      <c r="KFA1" s="293"/>
      <c r="KFB1" s="293"/>
      <c r="KFC1" s="293"/>
      <c r="KFD1" s="293"/>
      <c r="KFE1" s="293"/>
      <c r="KFF1" s="293"/>
      <c r="KFG1" s="293"/>
      <c r="KFH1" s="293"/>
      <c r="KFI1" s="293"/>
      <c r="KFJ1" s="293"/>
      <c r="KFK1" s="293"/>
      <c r="KFL1" s="293"/>
      <c r="KFM1" s="293"/>
      <c r="KFN1" s="293"/>
      <c r="KFO1" s="293"/>
      <c r="KFP1" s="293"/>
      <c r="KFQ1" s="293"/>
      <c r="KFR1" s="293"/>
      <c r="KFS1" s="293"/>
      <c r="KFT1" s="293"/>
      <c r="KFU1" s="293"/>
      <c r="KFV1" s="293"/>
      <c r="KFW1" s="293"/>
      <c r="KFX1" s="293"/>
      <c r="KFY1" s="293"/>
      <c r="KFZ1" s="293"/>
      <c r="KGA1" s="293"/>
      <c r="KGB1" s="293"/>
      <c r="KGC1" s="293"/>
      <c r="KGD1" s="293"/>
      <c r="KGE1" s="293"/>
      <c r="KGF1" s="293"/>
      <c r="KGG1" s="293"/>
      <c r="KGH1" s="293"/>
      <c r="KGI1" s="293"/>
      <c r="KGJ1" s="293"/>
      <c r="KGK1" s="293"/>
      <c r="KGL1" s="293"/>
      <c r="KGM1" s="293"/>
      <c r="KGN1" s="293"/>
      <c r="KGO1" s="293"/>
      <c r="KGP1" s="293"/>
      <c r="KGQ1" s="293"/>
      <c r="KGR1" s="293"/>
      <c r="KGS1" s="293"/>
      <c r="KGT1" s="293"/>
      <c r="KGU1" s="293"/>
      <c r="KGV1" s="293"/>
      <c r="KGW1" s="293"/>
      <c r="KGX1" s="293"/>
      <c r="KGY1" s="293"/>
      <c r="KGZ1" s="293"/>
      <c r="KHA1" s="293"/>
      <c r="KHB1" s="293"/>
      <c r="KHC1" s="293"/>
      <c r="KHD1" s="293"/>
      <c r="KHE1" s="293"/>
      <c r="KHF1" s="293"/>
      <c r="KHG1" s="293"/>
      <c r="KHH1" s="293"/>
      <c r="KHI1" s="293"/>
      <c r="KHJ1" s="293"/>
      <c r="KHK1" s="293"/>
      <c r="KHL1" s="293"/>
      <c r="KHM1" s="293"/>
      <c r="KHN1" s="293"/>
      <c r="KHO1" s="293"/>
      <c r="KHP1" s="293"/>
      <c r="KHQ1" s="293"/>
      <c r="KHR1" s="293"/>
      <c r="KHS1" s="293"/>
      <c r="KHT1" s="293"/>
      <c r="KHU1" s="293"/>
      <c r="KHV1" s="293"/>
      <c r="KHW1" s="293"/>
      <c r="KHX1" s="293"/>
      <c r="KHY1" s="293"/>
      <c r="KHZ1" s="293"/>
      <c r="KIA1" s="293"/>
      <c r="KIB1" s="293"/>
      <c r="KIC1" s="293"/>
      <c r="KID1" s="293"/>
      <c r="KIE1" s="293"/>
      <c r="KIF1" s="293"/>
      <c r="KIG1" s="293"/>
      <c r="KIH1" s="293"/>
      <c r="KII1" s="293"/>
      <c r="KIJ1" s="293"/>
      <c r="KIK1" s="293"/>
      <c r="KIL1" s="293"/>
      <c r="KIM1" s="293"/>
      <c r="KIN1" s="293"/>
      <c r="KIO1" s="293"/>
      <c r="KIP1" s="293"/>
      <c r="KIQ1" s="293"/>
      <c r="KIR1" s="293"/>
      <c r="KIS1" s="293"/>
      <c r="KIT1" s="293"/>
      <c r="KIU1" s="293"/>
      <c r="KIV1" s="293"/>
      <c r="KIW1" s="293"/>
      <c r="KIX1" s="293"/>
      <c r="KIY1" s="293"/>
      <c r="KIZ1" s="293"/>
      <c r="KJA1" s="293"/>
      <c r="KJB1" s="293"/>
      <c r="KJC1" s="293"/>
      <c r="KJD1" s="293"/>
      <c r="KJE1" s="293"/>
      <c r="KJF1" s="293"/>
      <c r="KJG1" s="293"/>
      <c r="KJH1" s="293"/>
      <c r="KJI1" s="293"/>
      <c r="KJJ1" s="293"/>
      <c r="KJK1" s="293"/>
      <c r="KJL1" s="293"/>
      <c r="KJM1" s="293"/>
      <c r="KJN1" s="293"/>
      <c r="KJO1" s="293"/>
      <c r="KJP1" s="293"/>
      <c r="KJQ1" s="293"/>
      <c r="KJR1" s="293"/>
      <c r="KJS1" s="293"/>
      <c r="KJT1" s="293"/>
      <c r="KJU1" s="293"/>
      <c r="KJV1" s="293"/>
      <c r="KJW1" s="293"/>
      <c r="KJX1" s="293"/>
      <c r="KJY1" s="293"/>
      <c r="KJZ1" s="293"/>
      <c r="KKA1" s="293"/>
      <c r="KKB1" s="293"/>
      <c r="KKC1" s="293"/>
      <c r="KKD1" s="293"/>
      <c r="KKE1" s="293"/>
      <c r="KKF1" s="293"/>
      <c r="KKG1" s="293"/>
      <c r="KKH1" s="293"/>
      <c r="KKI1" s="293"/>
      <c r="KKJ1" s="293"/>
      <c r="KKK1" s="293"/>
      <c r="KKL1" s="293"/>
      <c r="KKM1" s="293"/>
      <c r="KKN1" s="293"/>
      <c r="KKO1" s="293"/>
      <c r="KKP1" s="293"/>
      <c r="KKQ1" s="293"/>
      <c r="KKR1" s="293"/>
      <c r="KKS1" s="293"/>
      <c r="KKT1" s="293"/>
      <c r="KKU1" s="293"/>
      <c r="KKV1" s="293"/>
      <c r="KKW1" s="293"/>
      <c r="KKX1" s="293"/>
      <c r="KKY1" s="293"/>
      <c r="KKZ1" s="293"/>
      <c r="KLA1" s="293"/>
      <c r="KLB1" s="293"/>
      <c r="KLC1" s="293"/>
      <c r="KLD1" s="293"/>
      <c r="KLE1" s="293"/>
      <c r="KLF1" s="293"/>
      <c r="KLG1" s="293"/>
      <c r="KLH1" s="293"/>
      <c r="KLI1" s="293"/>
      <c r="KLJ1" s="293"/>
      <c r="KLK1" s="293"/>
      <c r="KLL1" s="293"/>
      <c r="KLM1" s="293"/>
      <c r="KLN1" s="293"/>
      <c r="KLO1" s="293"/>
      <c r="KLP1" s="293"/>
      <c r="KLQ1" s="293"/>
      <c r="KLR1" s="293"/>
      <c r="KLS1" s="293"/>
      <c r="KLT1" s="293"/>
      <c r="KLU1" s="293"/>
      <c r="KLV1" s="293"/>
      <c r="KLW1" s="293"/>
      <c r="KLX1" s="293"/>
      <c r="KLY1" s="293"/>
      <c r="KLZ1" s="293"/>
      <c r="KMA1" s="293"/>
      <c r="KMB1" s="293"/>
      <c r="KMC1" s="293"/>
      <c r="KMD1" s="293"/>
      <c r="KME1" s="293"/>
      <c r="KMF1" s="293"/>
      <c r="KMG1" s="293"/>
      <c r="KMH1" s="293"/>
      <c r="KMI1" s="293"/>
      <c r="KMJ1" s="293"/>
      <c r="KMK1" s="293"/>
      <c r="KML1" s="293"/>
      <c r="KMM1" s="293"/>
      <c r="KMN1" s="293"/>
      <c r="KMO1" s="293"/>
      <c r="KMP1" s="293"/>
      <c r="KMQ1" s="293"/>
      <c r="KMR1" s="293"/>
      <c r="KMS1" s="293"/>
      <c r="KMT1" s="293"/>
      <c r="KMU1" s="293"/>
      <c r="KMV1" s="293"/>
      <c r="KMW1" s="293"/>
      <c r="KMX1" s="293"/>
      <c r="KMY1" s="293"/>
      <c r="KMZ1" s="293"/>
      <c r="KNA1" s="293"/>
      <c r="KNB1" s="293"/>
      <c r="KNC1" s="293"/>
      <c r="KND1" s="293"/>
      <c r="KNE1" s="293"/>
      <c r="KNF1" s="293"/>
      <c r="KNG1" s="293"/>
      <c r="KNH1" s="293"/>
      <c r="KNI1" s="293"/>
      <c r="KNJ1" s="293"/>
      <c r="KNK1" s="293"/>
      <c r="KNL1" s="293"/>
      <c r="KNM1" s="293"/>
      <c r="KNN1" s="293"/>
      <c r="KNO1" s="293"/>
      <c r="KNP1" s="293"/>
      <c r="KNQ1" s="293"/>
      <c r="KNR1" s="293"/>
      <c r="KNS1" s="293"/>
      <c r="KNT1" s="293"/>
      <c r="KNU1" s="293"/>
      <c r="KNV1" s="293"/>
      <c r="KNW1" s="293"/>
      <c r="KNX1" s="293"/>
      <c r="KNY1" s="293"/>
      <c r="KNZ1" s="293"/>
      <c r="KOA1" s="293"/>
      <c r="KOB1" s="293"/>
      <c r="KOC1" s="293"/>
      <c r="KOD1" s="293"/>
      <c r="KOE1" s="293"/>
      <c r="KOF1" s="293"/>
      <c r="KOG1" s="293"/>
      <c r="KOH1" s="293"/>
      <c r="KOI1" s="293"/>
      <c r="KOJ1" s="293"/>
      <c r="KOK1" s="293"/>
      <c r="KOL1" s="293"/>
      <c r="KOM1" s="293"/>
      <c r="KON1" s="293"/>
      <c r="KOO1" s="293"/>
      <c r="KOP1" s="293"/>
      <c r="KOQ1" s="293"/>
      <c r="KOR1" s="293"/>
      <c r="KOS1" s="293"/>
      <c r="KOT1" s="293"/>
      <c r="KOU1" s="293"/>
      <c r="KOV1" s="293"/>
      <c r="KOW1" s="293"/>
      <c r="KOX1" s="293"/>
      <c r="KOY1" s="293"/>
      <c r="KOZ1" s="293"/>
      <c r="KPA1" s="293"/>
      <c r="KPB1" s="293"/>
      <c r="KPC1" s="293"/>
      <c r="KPD1" s="293"/>
      <c r="KPE1" s="293"/>
      <c r="KPF1" s="293"/>
      <c r="KPG1" s="293"/>
      <c r="KPH1" s="293"/>
      <c r="KPI1" s="293"/>
      <c r="KPJ1" s="293"/>
      <c r="KPK1" s="293"/>
      <c r="KPL1" s="293"/>
      <c r="KPM1" s="293"/>
      <c r="KPN1" s="293"/>
      <c r="KPO1" s="293"/>
      <c r="KPP1" s="293"/>
      <c r="KPQ1" s="293"/>
      <c r="KPR1" s="293"/>
      <c r="KPS1" s="293"/>
      <c r="KPT1" s="293"/>
      <c r="KPU1" s="293"/>
      <c r="KPV1" s="293"/>
      <c r="KPW1" s="293"/>
      <c r="KPX1" s="293"/>
      <c r="KPY1" s="293"/>
      <c r="KPZ1" s="293"/>
      <c r="KQA1" s="293"/>
      <c r="KQB1" s="293"/>
      <c r="KQC1" s="293"/>
      <c r="KQD1" s="293"/>
      <c r="KQE1" s="293"/>
      <c r="KQF1" s="293"/>
      <c r="KQG1" s="293"/>
      <c r="KQH1" s="293"/>
      <c r="KQI1" s="293"/>
      <c r="KQJ1" s="293"/>
      <c r="KQK1" s="293"/>
      <c r="KQL1" s="293"/>
      <c r="KQM1" s="293"/>
      <c r="KQN1" s="293"/>
      <c r="KQO1" s="293"/>
      <c r="KQP1" s="293"/>
      <c r="KQQ1" s="293"/>
      <c r="KQR1" s="293"/>
      <c r="KQS1" s="293"/>
      <c r="KQT1" s="293"/>
      <c r="KQU1" s="293"/>
      <c r="KQV1" s="293"/>
      <c r="KQW1" s="293"/>
      <c r="KQX1" s="293"/>
      <c r="KQY1" s="293"/>
      <c r="KQZ1" s="293"/>
      <c r="KRA1" s="293"/>
      <c r="KRB1" s="293"/>
      <c r="KRC1" s="293"/>
      <c r="KRD1" s="293"/>
      <c r="KRE1" s="293"/>
      <c r="KRF1" s="293"/>
      <c r="KRG1" s="293"/>
      <c r="KRH1" s="293"/>
      <c r="KRI1" s="293"/>
      <c r="KRJ1" s="293"/>
      <c r="KRK1" s="293"/>
      <c r="KRL1" s="293"/>
      <c r="KRM1" s="293"/>
      <c r="KRN1" s="293"/>
      <c r="KRO1" s="293"/>
      <c r="KRP1" s="293"/>
      <c r="KRQ1" s="293"/>
      <c r="KRR1" s="293"/>
      <c r="KRS1" s="293"/>
      <c r="KRT1" s="293"/>
      <c r="KRU1" s="293"/>
      <c r="KRV1" s="293"/>
      <c r="KRW1" s="293"/>
      <c r="KRX1" s="293"/>
      <c r="KRY1" s="293"/>
      <c r="KRZ1" s="293"/>
      <c r="KSA1" s="293"/>
      <c r="KSB1" s="293"/>
      <c r="KSC1" s="293"/>
      <c r="KSD1" s="293"/>
      <c r="KSE1" s="293"/>
      <c r="KSF1" s="293"/>
      <c r="KSG1" s="293"/>
      <c r="KSH1" s="293"/>
      <c r="KSI1" s="293"/>
      <c r="KSJ1" s="293"/>
      <c r="KSK1" s="293"/>
      <c r="KSL1" s="293"/>
      <c r="KSM1" s="293"/>
      <c r="KSN1" s="293"/>
      <c r="KSO1" s="293"/>
      <c r="KSP1" s="293"/>
      <c r="KSQ1" s="293"/>
      <c r="KSR1" s="293"/>
      <c r="KSS1" s="293"/>
      <c r="KST1" s="293"/>
      <c r="KSU1" s="293"/>
      <c r="KSV1" s="293"/>
      <c r="KSW1" s="293"/>
      <c r="KSX1" s="293"/>
      <c r="KSY1" s="293"/>
      <c r="KSZ1" s="293"/>
      <c r="KTA1" s="293"/>
      <c r="KTB1" s="293"/>
      <c r="KTC1" s="293"/>
      <c r="KTD1" s="293"/>
      <c r="KTE1" s="293"/>
      <c r="KTF1" s="293"/>
      <c r="KTG1" s="293"/>
      <c r="KTH1" s="293"/>
      <c r="KTI1" s="293"/>
      <c r="KTJ1" s="293"/>
      <c r="KTK1" s="293"/>
      <c r="KTL1" s="293"/>
      <c r="KTM1" s="293"/>
      <c r="KTN1" s="293"/>
      <c r="KTO1" s="293"/>
      <c r="KTP1" s="293"/>
      <c r="KTQ1" s="293"/>
      <c r="KTR1" s="293"/>
      <c r="KTS1" s="293"/>
      <c r="KTT1" s="293"/>
      <c r="KTU1" s="293"/>
      <c r="KTV1" s="293"/>
      <c r="KTW1" s="293"/>
      <c r="KTX1" s="293"/>
      <c r="KTY1" s="293"/>
      <c r="KTZ1" s="293"/>
      <c r="KUA1" s="293"/>
      <c r="KUB1" s="293"/>
      <c r="KUC1" s="293"/>
      <c r="KUD1" s="293"/>
      <c r="KUE1" s="293"/>
      <c r="KUF1" s="293"/>
      <c r="KUG1" s="293"/>
      <c r="KUH1" s="293"/>
      <c r="KUI1" s="293"/>
      <c r="KUJ1" s="293"/>
      <c r="KUK1" s="293"/>
      <c r="KUL1" s="293"/>
      <c r="KUM1" s="293"/>
      <c r="KUN1" s="293"/>
      <c r="KUO1" s="293"/>
      <c r="KUP1" s="293"/>
      <c r="KUQ1" s="293"/>
      <c r="KUR1" s="293"/>
      <c r="KUS1" s="293"/>
      <c r="KUT1" s="293"/>
      <c r="KUU1" s="293"/>
      <c r="KUV1" s="293"/>
      <c r="KUW1" s="293"/>
      <c r="KUX1" s="293"/>
      <c r="KUY1" s="293"/>
      <c r="KUZ1" s="293"/>
      <c r="KVA1" s="293"/>
      <c r="KVB1" s="293"/>
      <c r="KVC1" s="293"/>
      <c r="KVD1" s="293"/>
      <c r="KVE1" s="293"/>
      <c r="KVF1" s="293"/>
      <c r="KVG1" s="293"/>
      <c r="KVH1" s="293"/>
      <c r="KVI1" s="293"/>
      <c r="KVJ1" s="293"/>
      <c r="KVK1" s="293"/>
      <c r="KVL1" s="293"/>
      <c r="KVM1" s="293"/>
      <c r="KVN1" s="293"/>
      <c r="KVO1" s="293"/>
      <c r="KVP1" s="293"/>
      <c r="KVQ1" s="293"/>
      <c r="KVR1" s="293"/>
      <c r="KVS1" s="293"/>
      <c r="KVT1" s="293"/>
      <c r="KVU1" s="293"/>
      <c r="KVV1" s="293"/>
      <c r="KVW1" s="293"/>
      <c r="KVX1" s="293"/>
      <c r="KVY1" s="293"/>
      <c r="KVZ1" s="293"/>
      <c r="KWA1" s="293"/>
      <c r="KWB1" s="293"/>
      <c r="KWC1" s="293"/>
      <c r="KWD1" s="293"/>
      <c r="KWE1" s="293"/>
      <c r="KWF1" s="293"/>
      <c r="KWG1" s="293"/>
      <c r="KWH1" s="293"/>
      <c r="KWI1" s="293"/>
      <c r="KWJ1" s="293"/>
      <c r="KWK1" s="293"/>
      <c r="KWL1" s="293"/>
      <c r="KWM1" s="293"/>
      <c r="KWN1" s="293"/>
      <c r="KWO1" s="293"/>
      <c r="KWP1" s="293"/>
      <c r="KWQ1" s="293"/>
      <c r="KWR1" s="293"/>
      <c r="KWS1" s="293"/>
      <c r="KWT1" s="293"/>
      <c r="KWU1" s="293"/>
      <c r="KWV1" s="293"/>
      <c r="KWW1" s="293"/>
      <c r="KWX1" s="293"/>
      <c r="KWY1" s="293"/>
      <c r="KWZ1" s="293"/>
      <c r="KXA1" s="293"/>
      <c r="KXB1" s="293"/>
      <c r="KXC1" s="293"/>
      <c r="KXD1" s="293"/>
      <c r="KXE1" s="293"/>
      <c r="KXF1" s="293"/>
      <c r="KXG1" s="293"/>
      <c r="KXH1" s="293"/>
      <c r="KXI1" s="293"/>
      <c r="KXJ1" s="293"/>
      <c r="KXK1" s="293"/>
      <c r="KXL1" s="293"/>
      <c r="KXM1" s="293"/>
      <c r="KXN1" s="293"/>
      <c r="KXO1" s="293"/>
      <c r="KXP1" s="293"/>
      <c r="KXQ1" s="293"/>
      <c r="KXR1" s="293"/>
      <c r="KXS1" s="293"/>
      <c r="KXT1" s="293"/>
      <c r="KXU1" s="293"/>
      <c r="KXV1" s="293"/>
      <c r="KXW1" s="293"/>
      <c r="KXX1" s="293"/>
      <c r="KXY1" s="293"/>
      <c r="KXZ1" s="293"/>
      <c r="KYA1" s="293"/>
      <c r="KYB1" s="293"/>
      <c r="KYC1" s="293"/>
      <c r="KYD1" s="293"/>
      <c r="KYE1" s="293"/>
      <c r="KYF1" s="293"/>
      <c r="KYG1" s="293"/>
      <c r="KYH1" s="293"/>
      <c r="KYI1" s="293"/>
      <c r="KYJ1" s="293"/>
      <c r="KYK1" s="293"/>
      <c r="KYL1" s="293"/>
      <c r="KYM1" s="293"/>
      <c r="KYN1" s="293"/>
      <c r="KYO1" s="293"/>
      <c r="KYP1" s="293"/>
      <c r="KYQ1" s="293"/>
      <c r="KYR1" s="293"/>
      <c r="KYS1" s="293"/>
      <c r="KYT1" s="293"/>
      <c r="KYU1" s="293"/>
      <c r="KYV1" s="293"/>
      <c r="KYW1" s="293"/>
      <c r="KYX1" s="293"/>
      <c r="KYY1" s="293"/>
      <c r="KYZ1" s="293"/>
      <c r="KZA1" s="293"/>
      <c r="KZB1" s="293"/>
      <c r="KZC1" s="293"/>
      <c r="KZD1" s="293"/>
      <c r="KZE1" s="293"/>
      <c r="KZF1" s="293"/>
      <c r="KZG1" s="293"/>
      <c r="KZH1" s="293"/>
      <c r="KZI1" s="293"/>
      <c r="KZJ1" s="293"/>
      <c r="KZK1" s="293"/>
      <c r="KZL1" s="293"/>
      <c r="KZM1" s="293"/>
      <c r="KZN1" s="293"/>
      <c r="KZO1" s="293"/>
      <c r="KZP1" s="293"/>
      <c r="KZQ1" s="293"/>
      <c r="KZR1" s="293"/>
      <c r="KZS1" s="293"/>
      <c r="KZT1" s="293"/>
      <c r="KZU1" s="293"/>
      <c r="KZV1" s="293"/>
      <c r="KZW1" s="293"/>
      <c r="KZX1" s="293"/>
      <c r="KZY1" s="293"/>
      <c r="KZZ1" s="293"/>
      <c r="LAA1" s="293"/>
      <c r="LAB1" s="293"/>
      <c r="LAC1" s="293"/>
      <c r="LAD1" s="293"/>
      <c r="LAE1" s="293"/>
      <c r="LAF1" s="293"/>
      <c r="LAG1" s="293"/>
      <c r="LAH1" s="293"/>
      <c r="LAI1" s="293"/>
      <c r="LAJ1" s="293"/>
      <c r="LAK1" s="293"/>
      <c r="LAL1" s="293"/>
      <c r="LAM1" s="293"/>
      <c r="LAN1" s="293"/>
      <c r="LAO1" s="293"/>
      <c r="LAP1" s="293"/>
      <c r="LAQ1" s="293"/>
      <c r="LAR1" s="293"/>
      <c r="LAS1" s="293"/>
      <c r="LAT1" s="293"/>
      <c r="LAU1" s="293"/>
      <c r="LAV1" s="293"/>
      <c r="LAW1" s="293"/>
      <c r="LAX1" s="293"/>
      <c r="LAY1" s="293"/>
      <c r="LAZ1" s="293"/>
      <c r="LBA1" s="293"/>
      <c r="LBB1" s="293"/>
      <c r="LBC1" s="293"/>
      <c r="LBD1" s="293"/>
      <c r="LBE1" s="293"/>
      <c r="LBF1" s="293"/>
      <c r="LBG1" s="293"/>
      <c r="LBH1" s="293"/>
      <c r="LBI1" s="293"/>
      <c r="LBJ1" s="293"/>
      <c r="LBK1" s="293"/>
      <c r="LBL1" s="293"/>
      <c r="LBM1" s="293"/>
      <c r="LBN1" s="293"/>
      <c r="LBO1" s="293"/>
      <c r="LBP1" s="293"/>
      <c r="LBQ1" s="293"/>
      <c r="LBR1" s="293"/>
      <c r="LBS1" s="293"/>
      <c r="LBT1" s="293"/>
      <c r="LBU1" s="293"/>
      <c r="LBV1" s="293"/>
      <c r="LBW1" s="293"/>
      <c r="LBX1" s="293"/>
      <c r="LBY1" s="293"/>
      <c r="LBZ1" s="293"/>
      <c r="LCA1" s="293"/>
      <c r="LCB1" s="293"/>
      <c r="LCC1" s="293"/>
      <c r="LCD1" s="293"/>
      <c r="LCE1" s="293"/>
      <c r="LCF1" s="293"/>
      <c r="LCG1" s="293"/>
      <c r="LCH1" s="293"/>
      <c r="LCI1" s="293"/>
      <c r="LCJ1" s="293"/>
      <c r="LCK1" s="293"/>
      <c r="LCL1" s="293"/>
      <c r="LCM1" s="293"/>
      <c r="LCN1" s="293"/>
      <c r="LCO1" s="293"/>
      <c r="LCP1" s="293"/>
      <c r="LCQ1" s="293"/>
      <c r="LCR1" s="293"/>
      <c r="LCS1" s="293"/>
      <c r="LCT1" s="293"/>
      <c r="LCU1" s="293"/>
      <c r="LCV1" s="293"/>
      <c r="LCW1" s="293"/>
      <c r="LCX1" s="293"/>
      <c r="LCY1" s="293"/>
      <c r="LCZ1" s="293"/>
      <c r="LDA1" s="293"/>
      <c r="LDB1" s="293"/>
      <c r="LDC1" s="293"/>
      <c r="LDD1" s="293"/>
      <c r="LDE1" s="293"/>
      <c r="LDF1" s="293"/>
      <c r="LDG1" s="293"/>
      <c r="LDH1" s="293"/>
      <c r="LDI1" s="293"/>
      <c r="LDJ1" s="293"/>
      <c r="LDK1" s="293"/>
      <c r="LDL1" s="293"/>
      <c r="LDM1" s="293"/>
      <c r="LDN1" s="293"/>
      <c r="LDO1" s="293"/>
      <c r="LDP1" s="293"/>
      <c r="LDQ1" s="293"/>
      <c r="LDR1" s="293"/>
      <c r="LDS1" s="293"/>
      <c r="LDT1" s="293"/>
      <c r="LDU1" s="293"/>
      <c r="LDV1" s="293"/>
      <c r="LDW1" s="293"/>
      <c r="LDX1" s="293"/>
      <c r="LDY1" s="293"/>
      <c r="LDZ1" s="293"/>
      <c r="LEA1" s="293"/>
      <c r="LEB1" s="293"/>
      <c r="LEC1" s="293"/>
      <c r="LED1" s="293"/>
      <c r="LEE1" s="293"/>
      <c r="LEF1" s="293"/>
      <c r="LEG1" s="293"/>
      <c r="LEH1" s="293"/>
      <c r="LEI1" s="293"/>
      <c r="LEJ1" s="293"/>
      <c r="LEK1" s="293"/>
      <c r="LEL1" s="293"/>
      <c r="LEM1" s="293"/>
      <c r="LEN1" s="293"/>
      <c r="LEO1" s="293"/>
      <c r="LEP1" s="293"/>
      <c r="LEQ1" s="293"/>
      <c r="LER1" s="293"/>
      <c r="LES1" s="293"/>
      <c r="LET1" s="293"/>
      <c r="LEU1" s="293"/>
      <c r="LEV1" s="293"/>
      <c r="LEW1" s="293"/>
      <c r="LEX1" s="293"/>
      <c r="LEY1" s="293"/>
      <c r="LEZ1" s="293"/>
      <c r="LFA1" s="293"/>
      <c r="LFB1" s="293"/>
      <c r="LFC1" s="293"/>
      <c r="LFD1" s="293"/>
      <c r="LFE1" s="293"/>
      <c r="LFF1" s="293"/>
      <c r="LFG1" s="293"/>
      <c r="LFH1" s="293"/>
      <c r="LFI1" s="293"/>
      <c r="LFJ1" s="293"/>
      <c r="LFK1" s="293"/>
      <c r="LFL1" s="293"/>
      <c r="LFM1" s="293"/>
      <c r="LFN1" s="293"/>
      <c r="LFO1" s="293"/>
      <c r="LFP1" s="293"/>
      <c r="LFQ1" s="293"/>
      <c r="LFR1" s="293"/>
      <c r="LFS1" s="293"/>
      <c r="LFT1" s="293"/>
      <c r="LFU1" s="293"/>
      <c r="LFV1" s="293"/>
      <c r="LFW1" s="293"/>
      <c r="LFX1" s="293"/>
      <c r="LFY1" s="293"/>
      <c r="LFZ1" s="293"/>
      <c r="LGA1" s="293"/>
      <c r="LGB1" s="293"/>
      <c r="LGC1" s="293"/>
      <c r="LGD1" s="293"/>
      <c r="LGE1" s="293"/>
      <c r="LGF1" s="293"/>
      <c r="LGG1" s="293"/>
      <c r="LGH1" s="293"/>
      <c r="LGI1" s="293"/>
      <c r="LGJ1" s="293"/>
      <c r="LGK1" s="293"/>
      <c r="LGL1" s="293"/>
      <c r="LGM1" s="293"/>
      <c r="LGN1" s="293"/>
      <c r="LGO1" s="293"/>
      <c r="LGP1" s="293"/>
      <c r="LGQ1" s="293"/>
      <c r="LGR1" s="293"/>
      <c r="LGS1" s="293"/>
      <c r="LGT1" s="293"/>
      <c r="LGU1" s="293"/>
      <c r="LGV1" s="293"/>
      <c r="LGW1" s="293"/>
      <c r="LGX1" s="293"/>
      <c r="LGY1" s="293"/>
      <c r="LGZ1" s="293"/>
      <c r="LHA1" s="293"/>
      <c r="LHB1" s="293"/>
      <c r="LHC1" s="293"/>
      <c r="LHD1" s="293"/>
      <c r="LHE1" s="293"/>
      <c r="LHF1" s="293"/>
      <c r="LHG1" s="293"/>
      <c r="LHH1" s="293"/>
      <c r="LHI1" s="293"/>
      <c r="LHJ1" s="293"/>
      <c r="LHK1" s="293"/>
      <c r="LHL1" s="293"/>
      <c r="LHM1" s="293"/>
      <c r="LHN1" s="293"/>
      <c r="LHO1" s="293"/>
      <c r="LHP1" s="293"/>
      <c r="LHQ1" s="293"/>
      <c r="LHR1" s="293"/>
      <c r="LHS1" s="293"/>
      <c r="LHT1" s="293"/>
      <c r="LHU1" s="293"/>
      <c r="LHV1" s="293"/>
      <c r="LHW1" s="293"/>
      <c r="LHX1" s="293"/>
      <c r="LHY1" s="293"/>
      <c r="LHZ1" s="293"/>
      <c r="LIA1" s="293"/>
      <c r="LIB1" s="293"/>
      <c r="LIC1" s="293"/>
      <c r="LID1" s="293"/>
      <c r="LIE1" s="293"/>
      <c r="LIF1" s="293"/>
      <c r="LIG1" s="293"/>
      <c r="LIH1" s="293"/>
      <c r="LII1" s="293"/>
      <c r="LIJ1" s="293"/>
      <c r="LIK1" s="293"/>
      <c r="LIL1" s="293"/>
      <c r="LIM1" s="293"/>
      <c r="LIN1" s="293"/>
      <c r="LIO1" s="293"/>
      <c r="LIP1" s="293"/>
      <c r="LIQ1" s="293"/>
      <c r="LIR1" s="293"/>
      <c r="LIS1" s="293"/>
      <c r="LIT1" s="293"/>
      <c r="LIU1" s="293"/>
      <c r="LIV1" s="293"/>
      <c r="LIW1" s="293"/>
      <c r="LIX1" s="293"/>
      <c r="LIY1" s="293"/>
      <c r="LIZ1" s="293"/>
      <c r="LJA1" s="293"/>
      <c r="LJB1" s="293"/>
      <c r="LJC1" s="293"/>
      <c r="LJD1" s="293"/>
      <c r="LJE1" s="293"/>
      <c r="LJF1" s="293"/>
      <c r="LJG1" s="293"/>
      <c r="LJH1" s="293"/>
      <c r="LJI1" s="293"/>
      <c r="LJJ1" s="293"/>
      <c r="LJK1" s="293"/>
      <c r="LJL1" s="293"/>
      <c r="LJM1" s="293"/>
      <c r="LJN1" s="293"/>
      <c r="LJO1" s="293"/>
      <c r="LJP1" s="293"/>
      <c r="LJQ1" s="293"/>
      <c r="LJR1" s="293"/>
      <c r="LJS1" s="293"/>
      <c r="LJT1" s="293"/>
      <c r="LJU1" s="293"/>
      <c r="LJV1" s="293"/>
      <c r="LJW1" s="293"/>
      <c r="LJX1" s="293"/>
      <c r="LJY1" s="293"/>
      <c r="LJZ1" s="293"/>
      <c r="LKA1" s="293"/>
      <c r="LKB1" s="293"/>
      <c r="LKC1" s="293"/>
      <c r="LKD1" s="293"/>
      <c r="LKE1" s="293"/>
      <c r="LKF1" s="293"/>
      <c r="LKG1" s="293"/>
      <c r="LKH1" s="293"/>
      <c r="LKI1" s="293"/>
      <c r="LKJ1" s="293"/>
      <c r="LKK1" s="293"/>
      <c r="LKL1" s="293"/>
      <c r="LKM1" s="293"/>
      <c r="LKN1" s="293"/>
      <c r="LKO1" s="293"/>
      <c r="LKP1" s="293"/>
      <c r="LKQ1" s="293"/>
      <c r="LKR1" s="293"/>
      <c r="LKS1" s="293"/>
      <c r="LKT1" s="293"/>
      <c r="LKU1" s="293"/>
      <c r="LKV1" s="293"/>
      <c r="LKW1" s="293"/>
      <c r="LKX1" s="293"/>
      <c r="LKY1" s="293"/>
      <c r="LKZ1" s="293"/>
      <c r="LLA1" s="293"/>
      <c r="LLB1" s="293"/>
      <c r="LLC1" s="293"/>
      <c r="LLD1" s="293"/>
      <c r="LLE1" s="293"/>
      <c r="LLF1" s="293"/>
      <c r="LLG1" s="293"/>
      <c r="LLH1" s="293"/>
      <c r="LLI1" s="293"/>
      <c r="LLJ1" s="293"/>
      <c r="LLK1" s="293"/>
      <c r="LLL1" s="293"/>
      <c r="LLM1" s="293"/>
      <c r="LLN1" s="293"/>
      <c r="LLO1" s="293"/>
      <c r="LLP1" s="293"/>
      <c r="LLQ1" s="293"/>
      <c r="LLR1" s="293"/>
      <c r="LLS1" s="293"/>
      <c r="LLT1" s="293"/>
      <c r="LLU1" s="293"/>
      <c r="LLV1" s="293"/>
      <c r="LLW1" s="293"/>
      <c r="LLX1" s="293"/>
      <c r="LLY1" s="293"/>
      <c r="LLZ1" s="293"/>
      <c r="LMA1" s="293"/>
      <c r="LMB1" s="293"/>
      <c r="LMC1" s="293"/>
      <c r="LMD1" s="293"/>
      <c r="LME1" s="293"/>
      <c r="LMF1" s="293"/>
      <c r="LMG1" s="293"/>
      <c r="LMH1" s="293"/>
      <c r="LMI1" s="293"/>
      <c r="LMJ1" s="293"/>
      <c r="LMK1" s="293"/>
      <c r="LML1" s="293"/>
      <c r="LMM1" s="293"/>
      <c r="LMN1" s="293"/>
      <c r="LMO1" s="293"/>
      <c r="LMP1" s="293"/>
      <c r="LMQ1" s="293"/>
      <c r="LMR1" s="293"/>
      <c r="LMS1" s="293"/>
      <c r="LMT1" s="293"/>
      <c r="LMU1" s="293"/>
      <c r="LMV1" s="293"/>
      <c r="LMW1" s="293"/>
      <c r="LMX1" s="293"/>
      <c r="LMY1" s="293"/>
      <c r="LMZ1" s="293"/>
      <c r="LNA1" s="293"/>
      <c r="LNB1" s="293"/>
      <c r="LNC1" s="293"/>
      <c r="LND1" s="293"/>
      <c r="LNE1" s="293"/>
      <c r="LNF1" s="293"/>
      <c r="LNG1" s="293"/>
      <c r="LNH1" s="293"/>
      <c r="LNI1" s="293"/>
      <c r="LNJ1" s="293"/>
      <c r="LNK1" s="293"/>
      <c r="LNL1" s="293"/>
      <c r="LNM1" s="293"/>
      <c r="LNN1" s="293"/>
      <c r="LNO1" s="293"/>
      <c r="LNP1" s="293"/>
      <c r="LNQ1" s="293"/>
      <c r="LNR1" s="293"/>
      <c r="LNS1" s="293"/>
      <c r="LNT1" s="293"/>
      <c r="LNU1" s="293"/>
      <c r="LNV1" s="293"/>
      <c r="LNW1" s="293"/>
      <c r="LNX1" s="293"/>
      <c r="LNY1" s="293"/>
      <c r="LNZ1" s="293"/>
      <c r="LOA1" s="293"/>
      <c r="LOB1" s="293"/>
      <c r="LOC1" s="293"/>
      <c r="LOD1" s="293"/>
      <c r="LOE1" s="293"/>
      <c r="LOF1" s="293"/>
      <c r="LOG1" s="293"/>
      <c r="LOH1" s="293"/>
      <c r="LOI1" s="293"/>
      <c r="LOJ1" s="293"/>
      <c r="LOK1" s="293"/>
      <c r="LOL1" s="293"/>
      <c r="LOM1" s="293"/>
      <c r="LON1" s="293"/>
      <c r="LOO1" s="293"/>
      <c r="LOP1" s="293"/>
      <c r="LOQ1" s="293"/>
      <c r="LOR1" s="293"/>
      <c r="LOS1" s="293"/>
      <c r="LOT1" s="293"/>
      <c r="LOU1" s="293"/>
      <c r="LOV1" s="293"/>
      <c r="LOW1" s="293"/>
      <c r="LOX1" s="293"/>
      <c r="LOY1" s="293"/>
      <c r="LOZ1" s="293"/>
      <c r="LPA1" s="293"/>
      <c r="LPB1" s="293"/>
      <c r="LPC1" s="293"/>
      <c r="LPD1" s="293"/>
      <c r="LPE1" s="293"/>
      <c r="LPF1" s="293"/>
      <c r="LPG1" s="293"/>
      <c r="LPH1" s="293"/>
      <c r="LPI1" s="293"/>
      <c r="LPJ1" s="293"/>
      <c r="LPK1" s="293"/>
      <c r="LPL1" s="293"/>
      <c r="LPM1" s="293"/>
      <c r="LPN1" s="293"/>
      <c r="LPO1" s="293"/>
      <c r="LPP1" s="293"/>
      <c r="LPQ1" s="293"/>
      <c r="LPR1" s="293"/>
      <c r="LPS1" s="293"/>
      <c r="LPT1" s="293"/>
      <c r="LPU1" s="293"/>
      <c r="LPV1" s="293"/>
      <c r="LPW1" s="293"/>
      <c r="LPX1" s="293"/>
      <c r="LPY1" s="293"/>
      <c r="LPZ1" s="293"/>
      <c r="LQA1" s="293"/>
      <c r="LQB1" s="293"/>
      <c r="LQC1" s="293"/>
      <c r="LQD1" s="293"/>
      <c r="LQE1" s="293"/>
      <c r="LQF1" s="293"/>
      <c r="LQG1" s="293"/>
      <c r="LQH1" s="293"/>
      <c r="LQI1" s="293"/>
      <c r="LQJ1" s="293"/>
      <c r="LQK1" s="293"/>
      <c r="LQL1" s="293"/>
      <c r="LQM1" s="293"/>
      <c r="LQN1" s="293"/>
      <c r="LQO1" s="293"/>
      <c r="LQP1" s="293"/>
      <c r="LQQ1" s="293"/>
      <c r="LQR1" s="293"/>
      <c r="LQS1" s="293"/>
      <c r="LQT1" s="293"/>
      <c r="LQU1" s="293"/>
      <c r="LQV1" s="293"/>
      <c r="LQW1" s="293"/>
      <c r="LQX1" s="293"/>
      <c r="LQY1" s="293"/>
      <c r="LQZ1" s="293"/>
      <c r="LRA1" s="293"/>
      <c r="LRB1" s="293"/>
      <c r="LRC1" s="293"/>
      <c r="LRD1" s="293"/>
      <c r="LRE1" s="293"/>
      <c r="LRF1" s="293"/>
      <c r="LRG1" s="293"/>
      <c r="LRH1" s="293"/>
      <c r="LRI1" s="293"/>
      <c r="LRJ1" s="293"/>
      <c r="LRK1" s="293"/>
      <c r="LRL1" s="293"/>
      <c r="LRM1" s="293"/>
      <c r="LRN1" s="293"/>
      <c r="LRO1" s="293"/>
      <c r="LRP1" s="293"/>
      <c r="LRQ1" s="293"/>
      <c r="LRR1" s="293"/>
      <c r="LRS1" s="293"/>
      <c r="LRT1" s="293"/>
      <c r="LRU1" s="293"/>
      <c r="LRV1" s="293"/>
      <c r="LRW1" s="293"/>
      <c r="LRX1" s="293"/>
      <c r="LRY1" s="293"/>
      <c r="LRZ1" s="293"/>
      <c r="LSA1" s="293"/>
      <c r="LSB1" s="293"/>
      <c r="LSC1" s="293"/>
      <c r="LSD1" s="293"/>
      <c r="LSE1" s="293"/>
      <c r="LSF1" s="293"/>
      <c r="LSG1" s="293"/>
      <c r="LSH1" s="293"/>
      <c r="LSI1" s="293"/>
      <c r="LSJ1" s="293"/>
      <c r="LSK1" s="293"/>
      <c r="LSL1" s="293"/>
      <c r="LSM1" s="293"/>
      <c r="LSN1" s="293"/>
      <c r="LSO1" s="293"/>
      <c r="LSP1" s="293"/>
      <c r="LSQ1" s="293"/>
      <c r="LSR1" s="293"/>
      <c r="LSS1" s="293"/>
      <c r="LST1" s="293"/>
      <c r="LSU1" s="293"/>
      <c r="LSV1" s="293"/>
      <c r="LSW1" s="293"/>
      <c r="LSX1" s="293"/>
      <c r="LSY1" s="293"/>
      <c r="LSZ1" s="293"/>
      <c r="LTA1" s="293"/>
      <c r="LTB1" s="293"/>
      <c r="LTC1" s="293"/>
      <c r="LTD1" s="293"/>
      <c r="LTE1" s="293"/>
      <c r="LTF1" s="293"/>
      <c r="LTG1" s="293"/>
      <c r="LTH1" s="293"/>
      <c r="LTI1" s="293"/>
      <c r="LTJ1" s="293"/>
      <c r="LTK1" s="293"/>
      <c r="LTL1" s="293"/>
      <c r="LTM1" s="293"/>
      <c r="LTN1" s="293"/>
      <c r="LTO1" s="293"/>
      <c r="LTP1" s="293"/>
      <c r="LTQ1" s="293"/>
      <c r="LTR1" s="293"/>
      <c r="LTS1" s="293"/>
      <c r="LTT1" s="293"/>
      <c r="LTU1" s="293"/>
      <c r="LTV1" s="293"/>
      <c r="LTW1" s="293"/>
      <c r="LTX1" s="293"/>
      <c r="LTY1" s="293"/>
      <c r="LTZ1" s="293"/>
      <c r="LUA1" s="293"/>
      <c r="LUB1" s="293"/>
      <c r="LUC1" s="293"/>
      <c r="LUD1" s="293"/>
      <c r="LUE1" s="293"/>
      <c r="LUF1" s="293"/>
      <c r="LUG1" s="293"/>
      <c r="LUH1" s="293"/>
      <c r="LUI1" s="293"/>
      <c r="LUJ1" s="293"/>
      <c r="LUK1" s="293"/>
      <c r="LUL1" s="293"/>
      <c r="LUM1" s="293"/>
      <c r="LUN1" s="293"/>
      <c r="LUO1" s="293"/>
      <c r="LUP1" s="293"/>
      <c r="LUQ1" s="293"/>
      <c r="LUR1" s="293"/>
      <c r="LUS1" s="293"/>
      <c r="LUT1" s="293"/>
      <c r="LUU1" s="293"/>
      <c r="LUV1" s="293"/>
      <c r="LUW1" s="293"/>
      <c r="LUX1" s="293"/>
      <c r="LUY1" s="293"/>
      <c r="LUZ1" s="293"/>
      <c r="LVA1" s="293"/>
      <c r="LVB1" s="293"/>
      <c r="LVC1" s="293"/>
      <c r="LVD1" s="293"/>
      <c r="LVE1" s="293"/>
      <c r="LVF1" s="293"/>
      <c r="LVG1" s="293"/>
      <c r="LVH1" s="293"/>
      <c r="LVI1" s="293"/>
      <c r="LVJ1" s="293"/>
      <c r="LVK1" s="293"/>
      <c r="LVL1" s="293"/>
      <c r="LVM1" s="293"/>
      <c r="LVN1" s="293"/>
      <c r="LVO1" s="293"/>
      <c r="LVP1" s="293"/>
      <c r="LVQ1" s="293"/>
      <c r="LVR1" s="293"/>
      <c r="LVS1" s="293"/>
      <c r="LVT1" s="293"/>
      <c r="LVU1" s="293"/>
      <c r="LVV1" s="293"/>
      <c r="LVW1" s="293"/>
      <c r="LVX1" s="293"/>
      <c r="LVY1" s="293"/>
      <c r="LVZ1" s="293"/>
      <c r="LWA1" s="293"/>
      <c r="LWB1" s="293"/>
      <c r="LWC1" s="293"/>
      <c r="LWD1" s="293"/>
      <c r="LWE1" s="293"/>
      <c r="LWF1" s="293"/>
      <c r="LWG1" s="293"/>
      <c r="LWH1" s="293"/>
      <c r="LWI1" s="293"/>
      <c r="LWJ1" s="293"/>
      <c r="LWK1" s="293"/>
      <c r="LWL1" s="293"/>
      <c r="LWM1" s="293"/>
      <c r="LWN1" s="293"/>
      <c r="LWO1" s="293"/>
      <c r="LWP1" s="293"/>
      <c r="LWQ1" s="293"/>
      <c r="LWR1" s="293"/>
      <c r="LWS1" s="293"/>
      <c r="LWT1" s="293"/>
      <c r="LWU1" s="293"/>
      <c r="LWV1" s="293"/>
      <c r="LWW1" s="293"/>
      <c r="LWX1" s="293"/>
      <c r="LWY1" s="293"/>
      <c r="LWZ1" s="293"/>
      <c r="LXA1" s="293"/>
      <c r="LXB1" s="293"/>
      <c r="LXC1" s="293"/>
      <c r="LXD1" s="293"/>
      <c r="LXE1" s="293"/>
      <c r="LXF1" s="293"/>
      <c r="LXG1" s="293"/>
      <c r="LXH1" s="293"/>
      <c r="LXI1" s="293"/>
      <c r="LXJ1" s="293"/>
      <c r="LXK1" s="293"/>
      <c r="LXL1" s="293"/>
      <c r="LXM1" s="293"/>
      <c r="LXN1" s="293"/>
      <c r="LXO1" s="293"/>
      <c r="LXP1" s="293"/>
      <c r="LXQ1" s="293"/>
      <c r="LXR1" s="293"/>
      <c r="LXS1" s="293"/>
      <c r="LXT1" s="293"/>
      <c r="LXU1" s="293"/>
      <c r="LXV1" s="293"/>
      <c r="LXW1" s="293"/>
      <c r="LXX1" s="293"/>
      <c r="LXY1" s="293"/>
      <c r="LXZ1" s="293"/>
      <c r="LYA1" s="293"/>
      <c r="LYB1" s="293"/>
      <c r="LYC1" s="293"/>
      <c r="LYD1" s="293"/>
      <c r="LYE1" s="293"/>
      <c r="LYF1" s="293"/>
      <c r="LYG1" s="293"/>
      <c r="LYH1" s="293"/>
      <c r="LYI1" s="293"/>
      <c r="LYJ1" s="293"/>
      <c r="LYK1" s="293"/>
      <c r="LYL1" s="293"/>
      <c r="LYM1" s="293"/>
      <c r="LYN1" s="293"/>
      <c r="LYO1" s="293"/>
      <c r="LYP1" s="293"/>
      <c r="LYQ1" s="293"/>
      <c r="LYR1" s="293"/>
      <c r="LYS1" s="293"/>
      <c r="LYT1" s="293"/>
      <c r="LYU1" s="293"/>
      <c r="LYV1" s="293"/>
      <c r="LYW1" s="293"/>
      <c r="LYX1" s="293"/>
      <c r="LYY1" s="293"/>
      <c r="LYZ1" s="293"/>
      <c r="LZA1" s="293"/>
      <c r="LZB1" s="293"/>
      <c r="LZC1" s="293"/>
      <c r="LZD1" s="293"/>
      <c r="LZE1" s="293"/>
      <c r="LZF1" s="293"/>
      <c r="LZG1" s="293"/>
      <c r="LZH1" s="293"/>
      <c r="LZI1" s="293"/>
      <c r="LZJ1" s="293"/>
      <c r="LZK1" s="293"/>
      <c r="LZL1" s="293"/>
      <c r="LZM1" s="293"/>
      <c r="LZN1" s="293"/>
      <c r="LZO1" s="293"/>
      <c r="LZP1" s="293"/>
      <c r="LZQ1" s="293"/>
      <c r="LZR1" s="293"/>
      <c r="LZS1" s="293"/>
      <c r="LZT1" s="293"/>
      <c r="LZU1" s="293"/>
      <c r="LZV1" s="293"/>
      <c r="LZW1" s="293"/>
      <c r="LZX1" s="293"/>
      <c r="LZY1" s="293"/>
      <c r="LZZ1" s="293"/>
      <c r="MAA1" s="293"/>
      <c r="MAB1" s="293"/>
      <c r="MAC1" s="293"/>
      <c r="MAD1" s="293"/>
      <c r="MAE1" s="293"/>
      <c r="MAF1" s="293"/>
      <c r="MAG1" s="293"/>
      <c r="MAH1" s="293"/>
      <c r="MAI1" s="293"/>
      <c r="MAJ1" s="293"/>
      <c r="MAK1" s="293"/>
      <c r="MAL1" s="293"/>
      <c r="MAM1" s="293"/>
      <c r="MAN1" s="293"/>
      <c r="MAO1" s="293"/>
      <c r="MAP1" s="293"/>
      <c r="MAQ1" s="293"/>
      <c r="MAR1" s="293"/>
      <c r="MAS1" s="293"/>
      <c r="MAT1" s="293"/>
      <c r="MAU1" s="293"/>
      <c r="MAV1" s="293"/>
      <c r="MAW1" s="293"/>
      <c r="MAX1" s="293"/>
      <c r="MAY1" s="293"/>
      <c r="MAZ1" s="293"/>
      <c r="MBA1" s="293"/>
      <c r="MBB1" s="293"/>
      <c r="MBC1" s="293"/>
      <c r="MBD1" s="293"/>
      <c r="MBE1" s="293"/>
      <c r="MBF1" s="293"/>
      <c r="MBG1" s="293"/>
      <c r="MBH1" s="293"/>
      <c r="MBI1" s="293"/>
      <c r="MBJ1" s="293"/>
      <c r="MBK1" s="293"/>
      <c r="MBL1" s="293"/>
      <c r="MBM1" s="293"/>
      <c r="MBN1" s="293"/>
      <c r="MBO1" s="293"/>
      <c r="MBP1" s="293"/>
      <c r="MBQ1" s="293"/>
      <c r="MBR1" s="293"/>
      <c r="MBS1" s="293"/>
      <c r="MBT1" s="293"/>
      <c r="MBU1" s="293"/>
      <c r="MBV1" s="293"/>
      <c r="MBW1" s="293"/>
      <c r="MBX1" s="293"/>
      <c r="MBY1" s="293"/>
      <c r="MBZ1" s="293"/>
      <c r="MCA1" s="293"/>
      <c r="MCB1" s="293"/>
      <c r="MCC1" s="293"/>
      <c r="MCD1" s="293"/>
      <c r="MCE1" s="293"/>
      <c r="MCF1" s="293"/>
      <c r="MCG1" s="293"/>
      <c r="MCH1" s="293"/>
      <c r="MCI1" s="293"/>
      <c r="MCJ1" s="293"/>
      <c r="MCK1" s="293"/>
      <c r="MCL1" s="293"/>
      <c r="MCM1" s="293"/>
      <c r="MCN1" s="293"/>
      <c r="MCO1" s="293"/>
      <c r="MCP1" s="293"/>
      <c r="MCQ1" s="293"/>
      <c r="MCR1" s="293"/>
      <c r="MCS1" s="293"/>
      <c r="MCT1" s="293"/>
      <c r="MCU1" s="293"/>
      <c r="MCV1" s="293"/>
      <c r="MCW1" s="293"/>
      <c r="MCX1" s="293"/>
      <c r="MCY1" s="293"/>
      <c r="MCZ1" s="293"/>
      <c r="MDA1" s="293"/>
      <c r="MDB1" s="293"/>
      <c r="MDC1" s="293"/>
      <c r="MDD1" s="293"/>
      <c r="MDE1" s="293"/>
      <c r="MDF1" s="293"/>
      <c r="MDG1" s="293"/>
      <c r="MDH1" s="293"/>
      <c r="MDI1" s="293"/>
      <c r="MDJ1" s="293"/>
      <c r="MDK1" s="293"/>
      <c r="MDL1" s="293"/>
      <c r="MDM1" s="293"/>
      <c r="MDN1" s="293"/>
      <c r="MDO1" s="293"/>
      <c r="MDP1" s="293"/>
      <c r="MDQ1" s="293"/>
      <c r="MDR1" s="293"/>
      <c r="MDS1" s="293"/>
      <c r="MDT1" s="293"/>
      <c r="MDU1" s="293"/>
      <c r="MDV1" s="293"/>
      <c r="MDW1" s="293"/>
      <c r="MDX1" s="293"/>
      <c r="MDY1" s="293"/>
      <c r="MDZ1" s="293"/>
      <c r="MEA1" s="293"/>
      <c r="MEB1" s="293"/>
      <c r="MEC1" s="293"/>
      <c r="MED1" s="293"/>
      <c r="MEE1" s="293"/>
      <c r="MEF1" s="293"/>
      <c r="MEG1" s="293"/>
      <c r="MEH1" s="293"/>
      <c r="MEI1" s="293"/>
      <c r="MEJ1" s="293"/>
      <c r="MEK1" s="293"/>
      <c r="MEL1" s="293"/>
      <c r="MEM1" s="293"/>
      <c r="MEN1" s="293"/>
      <c r="MEO1" s="293"/>
      <c r="MEP1" s="293"/>
      <c r="MEQ1" s="293"/>
      <c r="MER1" s="293"/>
      <c r="MES1" s="293"/>
      <c r="MET1" s="293"/>
      <c r="MEU1" s="293"/>
      <c r="MEV1" s="293"/>
      <c r="MEW1" s="293"/>
      <c r="MEX1" s="293"/>
      <c r="MEY1" s="293"/>
      <c r="MEZ1" s="293"/>
      <c r="MFA1" s="293"/>
      <c r="MFB1" s="293"/>
      <c r="MFC1" s="293"/>
      <c r="MFD1" s="293"/>
      <c r="MFE1" s="293"/>
      <c r="MFF1" s="293"/>
      <c r="MFG1" s="293"/>
      <c r="MFH1" s="293"/>
      <c r="MFI1" s="293"/>
      <c r="MFJ1" s="293"/>
      <c r="MFK1" s="293"/>
      <c r="MFL1" s="293"/>
      <c r="MFM1" s="293"/>
      <c r="MFN1" s="293"/>
      <c r="MFO1" s="293"/>
      <c r="MFP1" s="293"/>
      <c r="MFQ1" s="293"/>
      <c r="MFR1" s="293"/>
      <c r="MFS1" s="293"/>
      <c r="MFT1" s="293"/>
      <c r="MFU1" s="293"/>
      <c r="MFV1" s="293"/>
      <c r="MFW1" s="293"/>
      <c r="MFX1" s="293"/>
      <c r="MFY1" s="293"/>
      <c r="MFZ1" s="293"/>
      <c r="MGA1" s="293"/>
      <c r="MGB1" s="293"/>
      <c r="MGC1" s="293"/>
      <c r="MGD1" s="293"/>
      <c r="MGE1" s="293"/>
      <c r="MGF1" s="293"/>
      <c r="MGG1" s="293"/>
      <c r="MGH1" s="293"/>
      <c r="MGI1" s="293"/>
      <c r="MGJ1" s="293"/>
      <c r="MGK1" s="293"/>
      <c r="MGL1" s="293"/>
      <c r="MGM1" s="293"/>
      <c r="MGN1" s="293"/>
      <c r="MGO1" s="293"/>
      <c r="MGP1" s="293"/>
      <c r="MGQ1" s="293"/>
      <c r="MGR1" s="293"/>
      <c r="MGS1" s="293"/>
      <c r="MGT1" s="293"/>
      <c r="MGU1" s="293"/>
      <c r="MGV1" s="293"/>
      <c r="MGW1" s="293"/>
      <c r="MGX1" s="293"/>
      <c r="MGY1" s="293"/>
      <c r="MGZ1" s="293"/>
      <c r="MHA1" s="293"/>
      <c r="MHB1" s="293"/>
      <c r="MHC1" s="293"/>
      <c r="MHD1" s="293"/>
      <c r="MHE1" s="293"/>
      <c r="MHF1" s="293"/>
      <c r="MHG1" s="293"/>
      <c r="MHH1" s="293"/>
      <c r="MHI1" s="293"/>
      <c r="MHJ1" s="293"/>
      <c r="MHK1" s="293"/>
      <c r="MHL1" s="293"/>
      <c r="MHM1" s="293"/>
      <c r="MHN1" s="293"/>
      <c r="MHO1" s="293"/>
      <c r="MHP1" s="293"/>
      <c r="MHQ1" s="293"/>
      <c r="MHR1" s="293"/>
      <c r="MHS1" s="293"/>
      <c r="MHT1" s="293"/>
      <c r="MHU1" s="293"/>
      <c r="MHV1" s="293"/>
      <c r="MHW1" s="293"/>
      <c r="MHX1" s="293"/>
      <c r="MHY1" s="293"/>
      <c r="MHZ1" s="293"/>
      <c r="MIA1" s="293"/>
      <c r="MIB1" s="293"/>
      <c r="MIC1" s="293"/>
      <c r="MID1" s="293"/>
      <c r="MIE1" s="293"/>
      <c r="MIF1" s="293"/>
      <c r="MIG1" s="293"/>
      <c r="MIH1" s="293"/>
      <c r="MII1" s="293"/>
      <c r="MIJ1" s="293"/>
      <c r="MIK1" s="293"/>
      <c r="MIL1" s="293"/>
      <c r="MIM1" s="293"/>
      <c r="MIN1" s="293"/>
      <c r="MIO1" s="293"/>
      <c r="MIP1" s="293"/>
      <c r="MIQ1" s="293"/>
      <c r="MIR1" s="293"/>
      <c r="MIS1" s="293"/>
      <c r="MIT1" s="293"/>
      <c r="MIU1" s="293"/>
      <c r="MIV1" s="293"/>
      <c r="MIW1" s="293"/>
      <c r="MIX1" s="293"/>
      <c r="MIY1" s="293"/>
      <c r="MIZ1" s="293"/>
      <c r="MJA1" s="293"/>
      <c r="MJB1" s="293"/>
      <c r="MJC1" s="293"/>
      <c r="MJD1" s="293"/>
      <c r="MJE1" s="293"/>
      <c r="MJF1" s="293"/>
      <c r="MJG1" s="293"/>
      <c r="MJH1" s="293"/>
      <c r="MJI1" s="293"/>
      <c r="MJJ1" s="293"/>
      <c r="MJK1" s="293"/>
      <c r="MJL1" s="293"/>
      <c r="MJM1" s="293"/>
      <c r="MJN1" s="293"/>
      <c r="MJO1" s="293"/>
      <c r="MJP1" s="293"/>
      <c r="MJQ1" s="293"/>
      <c r="MJR1" s="293"/>
      <c r="MJS1" s="293"/>
      <c r="MJT1" s="293"/>
      <c r="MJU1" s="293"/>
      <c r="MJV1" s="293"/>
      <c r="MJW1" s="293"/>
      <c r="MJX1" s="293"/>
      <c r="MJY1" s="293"/>
      <c r="MJZ1" s="293"/>
      <c r="MKA1" s="293"/>
      <c r="MKB1" s="293"/>
      <c r="MKC1" s="293"/>
      <c r="MKD1" s="293"/>
      <c r="MKE1" s="293"/>
      <c r="MKF1" s="293"/>
      <c r="MKG1" s="293"/>
      <c r="MKH1" s="293"/>
      <c r="MKI1" s="293"/>
      <c r="MKJ1" s="293"/>
      <c r="MKK1" s="293"/>
      <c r="MKL1" s="293"/>
      <c r="MKM1" s="293"/>
      <c r="MKN1" s="293"/>
      <c r="MKO1" s="293"/>
      <c r="MKP1" s="293"/>
      <c r="MKQ1" s="293"/>
      <c r="MKR1" s="293"/>
      <c r="MKS1" s="293"/>
      <c r="MKT1" s="293"/>
      <c r="MKU1" s="293"/>
      <c r="MKV1" s="293"/>
      <c r="MKW1" s="293"/>
      <c r="MKX1" s="293"/>
      <c r="MKY1" s="293"/>
      <c r="MKZ1" s="293"/>
      <c r="MLA1" s="293"/>
      <c r="MLB1" s="293"/>
      <c r="MLC1" s="293"/>
      <c r="MLD1" s="293"/>
      <c r="MLE1" s="293"/>
      <c r="MLF1" s="293"/>
      <c r="MLG1" s="293"/>
      <c r="MLH1" s="293"/>
      <c r="MLI1" s="293"/>
      <c r="MLJ1" s="293"/>
      <c r="MLK1" s="293"/>
      <c r="MLL1" s="293"/>
      <c r="MLM1" s="293"/>
      <c r="MLN1" s="293"/>
      <c r="MLO1" s="293"/>
      <c r="MLP1" s="293"/>
      <c r="MLQ1" s="293"/>
      <c r="MLR1" s="293"/>
      <c r="MLS1" s="293"/>
      <c r="MLT1" s="293"/>
      <c r="MLU1" s="293"/>
      <c r="MLV1" s="293"/>
      <c r="MLW1" s="293"/>
      <c r="MLX1" s="293"/>
      <c r="MLY1" s="293"/>
      <c r="MLZ1" s="293"/>
      <c r="MMA1" s="293"/>
      <c r="MMB1" s="293"/>
      <c r="MMC1" s="293"/>
      <c r="MMD1" s="293"/>
      <c r="MME1" s="293"/>
      <c r="MMF1" s="293"/>
      <c r="MMG1" s="293"/>
      <c r="MMH1" s="293"/>
      <c r="MMI1" s="293"/>
      <c r="MMJ1" s="293"/>
      <c r="MMK1" s="293"/>
      <c r="MML1" s="293"/>
      <c r="MMM1" s="293"/>
      <c r="MMN1" s="293"/>
      <c r="MMO1" s="293"/>
      <c r="MMP1" s="293"/>
      <c r="MMQ1" s="293"/>
      <c r="MMR1" s="293"/>
      <c r="MMS1" s="293"/>
      <c r="MMT1" s="293"/>
      <c r="MMU1" s="293"/>
      <c r="MMV1" s="293"/>
      <c r="MMW1" s="293"/>
      <c r="MMX1" s="293"/>
      <c r="MMY1" s="293"/>
      <c r="MMZ1" s="293"/>
      <c r="MNA1" s="293"/>
      <c r="MNB1" s="293"/>
      <c r="MNC1" s="293"/>
      <c r="MND1" s="293"/>
      <c r="MNE1" s="293"/>
      <c r="MNF1" s="293"/>
      <c r="MNG1" s="293"/>
      <c r="MNH1" s="293"/>
      <c r="MNI1" s="293"/>
      <c r="MNJ1" s="293"/>
      <c r="MNK1" s="293"/>
      <c r="MNL1" s="293"/>
      <c r="MNM1" s="293"/>
      <c r="MNN1" s="293"/>
      <c r="MNO1" s="293"/>
      <c r="MNP1" s="293"/>
      <c r="MNQ1" s="293"/>
      <c r="MNR1" s="293"/>
      <c r="MNS1" s="293"/>
      <c r="MNT1" s="293"/>
      <c r="MNU1" s="293"/>
      <c r="MNV1" s="293"/>
      <c r="MNW1" s="293"/>
      <c r="MNX1" s="293"/>
      <c r="MNY1" s="293"/>
      <c r="MNZ1" s="293"/>
      <c r="MOA1" s="293"/>
      <c r="MOB1" s="293"/>
      <c r="MOC1" s="293"/>
      <c r="MOD1" s="293"/>
      <c r="MOE1" s="293"/>
      <c r="MOF1" s="293"/>
      <c r="MOG1" s="293"/>
      <c r="MOH1" s="293"/>
      <c r="MOI1" s="293"/>
      <c r="MOJ1" s="293"/>
      <c r="MOK1" s="293"/>
      <c r="MOL1" s="293"/>
      <c r="MOM1" s="293"/>
      <c r="MON1" s="293"/>
      <c r="MOO1" s="293"/>
      <c r="MOP1" s="293"/>
      <c r="MOQ1" s="293"/>
      <c r="MOR1" s="293"/>
      <c r="MOS1" s="293"/>
      <c r="MOT1" s="293"/>
      <c r="MOU1" s="293"/>
      <c r="MOV1" s="293"/>
      <c r="MOW1" s="293"/>
      <c r="MOX1" s="293"/>
      <c r="MOY1" s="293"/>
      <c r="MOZ1" s="293"/>
      <c r="MPA1" s="293"/>
      <c r="MPB1" s="293"/>
      <c r="MPC1" s="293"/>
      <c r="MPD1" s="293"/>
      <c r="MPE1" s="293"/>
      <c r="MPF1" s="293"/>
      <c r="MPG1" s="293"/>
      <c r="MPH1" s="293"/>
      <c r="MPI1" s="293"/>
      <c r="MPJ1" s="293"/>
      <c r="MPK1" s="293"/>
      <c r="MPL1" s="293"/>
      <c r="MPM1" s="293"/>
      <c r="MPN1" s="293"/>
      <c r="MPO1" s="293"/>
      <c r="MPP1" s="293"/>
      <c r="MPQ1" s="293"/>
      <c r="MPR1" s="293"/>
      <c r="MPS1" s="293"/>
      <c r="MPT1" s="293"/>
      <c r="MPU1" s="293"/>
      <c r="MPV1" s="293"/>
      <c r="MPW1" s="293"/>
      <c r="MPX1" s="293"/>
      <c r="MPY1" s="293"/>
      <c r="MPZ1" s="293"/>
      <c r="MQA1" s="293"/>
      <c r="MQB1" s="293"/>
      <c r="MQC1" s="293"/>
      <c r="MQD1" s="293"/>
      <c r="MQE1" s="293"/>
      <c r="MQF1" s="293"/>
      <c r="MQG1" s="293"/>
      <c r="MQH1" s="293"/>
      <c r="MQI1" s="293"/>
      <c r="MQJ1" s="293"/>
      <c r="MQK1" s="293"/>
      <c r="MQL1" s="293"/>
      <c r="MQM1" s="293"/>
      <c r="MQN1" s="293"/>
      <c r="MQO1" s="293"/>
      <c r="MQP1" s="293"/>
      <c r="MQQ1" s="293"/>
      <c r="MQR1" s="293"/>
      <c r="MQS1" s="293"/>
      <c r="MQT1" s="293"/>
      <c r="MQU1" s="293"/>
      <c r="MQV1" s="293"/>
      <c r="MQW1" s="293"/>
      <c r="MQX1" s="293"/>
      <c r="MQY1" s="293"/>
      <c r="MQZ1" s="293"/>
      <c r="MRA1" s="293"/>
      <c r="MRB1" s="293"/>
      <c r="MRC1" s="293"/>
      <c r="MRD1" s="293"/>
      <c r="MRE1" s="293"/>
      <c r="MRF1" s="293"/>
      <c r="MRG1" s="293"/>
      <c r="MRH1" s="293"/>
      <c r="MRI1" s="293"/>
      <c r="MRJ1" s="293"/>
      <c r="MRK1" s="293"/>
      <c r="MRL1" s="293"/>
      <c r="MRM1" s="293"/>
      <c r="MRN1" s="293"/>
      <c r="MRO1" s="293"/>
      <c r="MRP1" s="293"/>
      <c r="MRQ1" s="293"/>
      <c r="MRR1" s="293"/>
      <c r="MRS1" s="293"/>
      <c r="MRT1" s="293"/>
      <c r="MRU1" s="293"/>
      <c r="MRV1" s="293"/>
      <c r="MRW1" s="293"/>
      <c r="MRX1" s="293"/>
      <c r="MRY1" s="293"/>
      <c r="MRZ1" s="293"/>
      <c r="MSA1" s="293"/>
      <c r="MSB1" s="293"/>
      <c r="MSC1" s="293"/>
      <c r="MSD1" s="293"/>
      <c r="MSE1" s="293"/>
      <c r="MSF1" s="293"/>
      <c r="MSG1" s="293"/>
      <c r="MSH1" s="293"/>
      <c r="MSI1" s="293"/>
      <c r="MSJ1" s="293"/>
      <c r="MSK1" s="293"/>
      <c r="MSL1" s="293"/>
      <c r="MSM1" s="293"/>
      <c r="MSN1" s="293"/>
      <c r="MSO1" s="293"/>
      <c r="MSP1" s="293"/>
      <c r="MSQ1" s="293"/>
      <c r="MSR1" s="293"/>
      <c r="MSS1" s="293"/>
      <c r="MST1" s="293"/>
      <c r="MSU1" s="293"/>
      <c r="MSV1" s="293"/>
      <c r="MSW1" s="293"/>
      <c r="MSX1" s="293"/>
      <c r="MSY1" s="293"/>
      <c r="MSZ1" s="293"/>
      <c r="MTA1" s="293"/>
      <c r="MTB1" s="293"/>
      <c r="MTC1" s="293"/>
      <c r="MTD1" s="293"/>
      <c r="MTE1" s="293"/>
      <c r="MTF1" s="293"/>
      <c r="MTG1" s="293"/>
      <c r="MTH1" s="293"/>
      <c r="MTI1" s="293"/>
      <c r="MTJ1" s="293"/>
      <c r="MTK1" s="293"/>
      <c r="MTL1" s="293"/>
      <c r="MTM1" s="293"/>
      <c r="MTN1" s="293"/>
      <c r="MTO1" s="293"/>
      <c r="MTP1" s="293"/>
      <c r="MTQ1" s="293"/>
      <c r="MTR1" s="293"/>
      <c r="MTS1" s="293"/>
      <c r="MTT1" s="293"/>
      <c r="MTU1" s="293"/>
      <c r="MTV1" s="293"/>
      <c r="MTW1" s="293"/>
      <c r="MTX1" s="293"/>
      <c r="MTY1" s="293"/>
      <c r="MTZ1" s="293"/>
      <c r="MUA1" s="293"/>
      <c r="MUB1" s="293"/>
      <c r="MUC1" s="293"/>
      <c r="MUD1" s="293"/>
      <c r="MUE1" s="293"/>
      <c r="MUF1" s="293"/>
      <c r="MUG1" s="293"/>
      <c r="MUH1" s="293"/>
      <c r="MUI1" s="293"/>
      <c r="MUJ1" s="293"/>
      <c r="MUK1" s="293"/>
      <c r="MUL1" s="293"/>
      <c r="MUM1" s="293"/>
      <c r="MUN1" s="293"/>
      <c r="MUO1" s="293"/>
      <c r="MUP1" s="293"/>
      <c r="MUQ1" s="293"/>
      <c r="MUR1" s="293"/>
      <c r="MUS1" s="293"/>
      <c r="MUT1" s="293"/>
      <c r="MUU1" s="293"/>
      <c r="MUV1" s="293"/>
      <c r="MUW1" s="293"/>
      <c r="MUX1" s="293"/>
      <c r="MUY1" s="293"/>
      <c r="MUZ1" s="293"/>
      <c r="MVA1" s="293"/>
      <c r="MVB1" s="293"/>
      <c r="MVC1" s="293"/>
      <c r="MVD1" s="293"/>
      <c r="MVE1" s="293"/>
      <c r="MVF1" s="293"/>
      <c r="MVG1" s="293"/>
      <c r="MVH1" s="293"/>
      <c r="MVI1" s="293"/>
      <c r="MVJ1" s="293"/>
      <c r="MVK1" s="293"/>
      <c r="MVL1" s="293"/>
      <c r="MVM1" s="293"/>
      <c r="MVN1" s="293"/>
      <c r="MVO1" s="293"/>
      <c r="MVP1" s="293"/>
      <c r="MVQ1" s="293"/>
      <c r="MVR1" s="293"/>
      <c r="MVS1" s="293"/>
      <c r="MVT1" s="293"/>
      <c r="MVU1" s="293"/>
      <c r="MVV1" s="293"/>
      <c r="MVW1" s="293"/>
      <c r="MVX1" s="293"/>
      <c r="MVY1" s="293"/>
      <c r="MVZ1" s="293"/>
      <c r="MWA1" s="293"/>
      <c r="MWB1" s="293"/>
      <c r="MWC1" s="293"/>
      <c r="MWD1" s="293"/>
      <c r="MWE1" s="293"/>
      <c r="MWF1" s="293"/>
      <c r="MWG1" s="293"/>
      <c r="MWH1" s="293"/>
      <c r="MWI1" s="293"/>
      <c r="MWJ1" s="293"/>
      <c r="MWK1" s="293"/>
      <c r="MWL1" s="293"/>
      <c r="MWM1" s="293"/>
      <c r="MWN1" s="293"/>
      <c r="MWO1" s="293"/>
      <c r="MWP1" s="293"/>
      <c r="MWQ1" s="293"/>
      <c r="MWR1" s="293"/>
      <c r="MWS1" s="293"/>
      <c r="MWT1" s="293"/>
      <c r="MWU1" s="293"/>
      <c r="MWV1" s="293"/>
      <c r="MWW1" s="293"/>
      <c r="MWX1" s="293"/>
      <c r="MWY1" s="293"/>
      <c r="MWZ1" s="293"/>
      <c r="MXA1" s="293"/>
      <c r="MXB1" s="293"/>
      <c r="MXC1" s="293"/>
      <c r="MXD1" s="293"/>
      <c r="MXE1" s="293"/>
      <c r="MXF1" s="293"/>
      <c r="MXG1" s="293"/>
      <c r="MXH1" s="293"/>
      <c r="MXI1" s="293"/>
      <c r="MXJ1" s="293"/>
      <c r="MXK1" s="293"/>
      <c r="MXL1" s="293"/>
      <c r="MXM1" s="293"/>
      <c r="MXN1" s="293"/>
      <c r="MXO1" s="293"/>
      <c r="MXP1" s="293"/>
      <c r="MXQ1" s="293"/>
      <c r="MXR1" s="293"/>
      <c r="MXS1" s="293"/>
      <c r="MXT1" s="293"/>
      <c r="MXU1" s="293"/>
      <c r="MXV1" s="293"/>
      <c r="MXW1" s="293"/>
      <c r="MXX1" s="293"/>
      <c r="MXY1" s="293"/>
      <c r="MXZ1" s="293"/>
      <c r="MYA1" s="293"/>
      <c r="MYB1" s="293"/>
      <c r="MYC1" s="293"/>
      <c r="MYD1" s="293"/>
      <c r="MYE1" s="293"/>
      <c r="MYF1" s="293"/>
      <c r="MYG1" s="293"/>
      <c r="MYH1" s="293"/>
      <c r="MYI1" s="293"/>
      <c r="MYJ1" s="293"/>
      <c r="MYK1" s="293"/>
      <c r="MYL1" s="293"/>
      <c r="MYM1" s="293"/>
      <c r="MYN1" s="293"/>
      <c r="MYO1" s="293"/>
      <c r="MYP1" s="293"/>
      <c r="MYQ1" s="293"/>
      <c r="MYR1" s="293"/>
      <c r="MYS1" s="293"/>
      <c r="MYT1" s="293"/>
      <c r="MYU1" s="293"/>
      <c r="MYV1" s="293"/>
      <c r="MYW1" s="293"/>
      <c r="MYX1" s="293"/>
      <c r="MYY1" s="293"/>
      <c r="MYZ1" s="293"/>
      <c r="MZA1" s="293"/>
      <c r="MZB1" s="293"/>
      <c r="MZC1" s="293"/>
      <c r="MZD1" s="293"/>
      <c r="MZE1" s="293"/>
      <c r="MZF1" s="293"/>
      <c r="MZG1" s="293"/>
      <c r="MZH1" s="293"/>
      <c r="MZI1" s="293"/>
      <c r="MZJ1" s="293"/>
      <c r="MZK1" s="293"/>
      <c r="MZL1" s="293"/>
      <c r="MZM1" s="293"/>
      <c r="MZN1" s="293"/>
      <c r="MZO1" s="293"/>
      <c r="MZP1" s="293"/>
      <c r="MZQ1" s="293"/>
      <c r="MZR1" s="293"/>
      <c r="MZS1" s="293"/>
      <c r="MZT1" s="293"/>
      <c r="MZU1" s="293"/>
      <c r="MZV1" s="293"/>
      <c r="MZW1" s="293"/>
      <c r="MZX1" s="293"/>
      <c r="MZY1" s="293"/>
      <c r="MZZ1" s="293"/>
      <c r="NAA1" s="293"/>
      <c r="NAB1" s="293"/>
      <c r="NAC1" s="293"/>
      <c r="NAD1" s="293"/>
      <c r="NAE1" s="293"/>
      <c r="NAF1" s="293"/>
      <c r="NAG1" s="293"/>
      <c r="NAH1" s="293"/>
      <c r="NAI1" s="293"/>
      <c r="NAJ1" s="293"/>
      <c r="NAK1" s="293"/>
      <c r="NAL1" s="293"/>
      <c r="NAM1" s="293"/>
      <c r="NAN1" s="293"/>
      <c r="NAO1" s="293"/>
      <c r="NAP1" s="293"/>
      <c r="NAQ1" s="293"/>
      <c r="NAR1" s="293"/>
      <c r="NAS1" s="293"/>
      <c r="NAT1" s="293"/>
      <c r="NAU1" s="293"/>
      <c r="NAV1" s="293"/>
      <c r="NAW1" s="293"/>
      <c r="NAX1" s="293"/>
      <c r="NAY1" s="293"/>
      <c r="NAZ1" s="293"/>
      <c r="NBA1" s="293"/>
      <c r="NBB1" s="293"/>
      <c r="NBC1" s="293"/>
      <c r="NBD1" s="293"/>
      <c r="NBE1" s="293"/>
      <c r="NBF1" s="293"/>
      <c r="NBG1" s="293"/>
      <c r="NBH1" s="293"/>
      <c r="NBI1" s="293"/>
      <c r="NBJ1" s="293"/>
      <c r="NBK1" s="293"/>
      <c r="NBL1" s="293"/>
      <c r="NBM1" s="293"/>
      <c r="NBN1" s="293"/>
      <c r="NBO1" s="293"/>
      <c r="NBP1" s="293"/>
      <c r="NBQ1" s="293"/>
      <c r="NBR1" s="293"/>
      <c r="NBS1" s="293"/>
      <c r="NBT1" s="293"/>
      <c r="NBU1" s="293"/>
      <c r="NBV1" s="293"/>
      <c r="NBW1" s="293"/>
      <c r="NBX1" s="293"/>
      <c r="NBY1" s="293"/>
      <c r="NBZ1" s="293"/>
      <c r="NCA1" s="293"/>
      <c r="NCB1" s="293"/>
      <c r="NCC1" s="293"/>
      <c r="NCD1" s="293"/>
      <c r="NCE1" s="293"/>
      <c r="NCF1" s="293"/>
      <c r="NCG1" s="293"/>
      <c r="NCH1" s="293"/>
      <c r="NCI1" s="293"/>
      <c r="NCJ1" s="293"/>
      <c r="NCK1" s="293"/>
      <c r="NCL1" s="293"/>
      <c r="NCM1" s="293"/>
      <c r="NCN1" s="293"/>
      <c r="NCO1" s="293"/>
      <c r="NCP1" s="293"/>
      <c r="NCQ1" s="293"/>
      <c r="NCR1" s="293"/>
      <c r="NCS1" s="293"/>
      <c r="NCT1" s="293"/>
      <c r="NCU1" s="293"/>
      <c r="NCV1" s="293"/>
      <c r="NCW1" s="293"/>
      <c r="NCX1" s="293"/>
      <c r="NCY1" s="293"/>
      <c r="NCZ1" s="293"/>
      <c r="NDA1" s="293"/>
      <c r="NDB1" s="293"/>
      <c r="NDC1" s="293"/>
      <c r="NDD1" s="293"/>
      <c r="NDE1" s="293"/>
      <c r="NDF1" s="293"/>
      <c r="NDG1" s="293"/>
      <c r="NDH1" s="293"/>
      <c r="NDI1" s="293"/>
      <c r="NDJ1" s="293"/>
      <c r="NDK1" s="293"/>
      <c r="NDL1" s="293"/>
      <c r="NDM1" s="293"/>
      <c r="NDN1" s="293"/>
      <c r="NDO1" s="293"/>
      <c r="NDP1" s="293"/>
      <c r="NDQ1" s="293"/>
      <c r="NDR1" s="293"/>
      <c r="NDS1" s="293"/>
      <c r="NDT1" s="293"/>
      <c r="NDU1" s="293"/>
      <c r="NDV1" s="293"/>
      <c r="NDW1" s="293"/>
      <c r="NDX1" s="293"/>
      <c r="NDY1" s="293"/>
      <c r="NDZ1" s="293"/>
      <c r="NEA1" s="293"/>
      <c r="NEB1" s="293"/>
      <c r="NEC1" s="293"/>
      <c r="NED1" s="293"/>
      <c r="NEE1" s="293"/>
      <c r="NEF1" s="293"/>
      <c r="NEG1" s="293"/>
      <c r="NEH1" s="293"/>
      <c r="NEI1" s="293"/>
      <c r="NEJ1" s="293"/>
      <c r="NEK1" s="293"/>
      <c r="NEL1" s="293"/>
      <c r="NEM1" s="293"/>
      <c r="NEN1" s="293"/>
      <c r="NEO1" s="293"/>
      <c r="NEP1" s="293"/>
      <c r="NEQ1" s="293"/>
      <c r="NER1" s="293"/>
      <c r="NES1" s="293"/>
      <c r="NET1" s="293"/>
      <c r="NEU1" s="293"/>
      <c r="NEV1" s="293"/>
      <c r="NEW1" s="293"/>
      <c r="NEX1" s="293"/>
      <c r="NEY1" s="293"/>
      <c r="NEZ1" s="293"/>
      <c r="NFA1" s="293"/>
      <c r="NFB1" s="293"/>
      <c r="NFC1" s="293"/>
      <c r="NFD1" s="293"/>
      <c r="NFE1" s="293"/>
      <c r="NFF1" s="293"/>
      <c r="NFG1" s="293"/>
      <c r="NFH1" s="293"/>
      <c r="NFI1" s="293"/>
      <c r="NFJ1" s="293"/>
      <c r="NFK1" s="293"/>
      <c r="NFL1" s="293"/>
      <c r="NFM1" s="293"/>
      <c r="NFN1" s="293"/>
      <c r="NFO1" s="293"/>
      <c r="NFP1" s="293"/>
      <c r="NFQ1" s="293"/>
      <c r="NFR1" s="293"/>
      <c r="NFS1" s="293"/>
      <c r="NFT1" s="293"/>
      <c r="NFU1" s="293"/>
      <c r="NFV1" s="293"/>
      <c r="NFW1" s="293"/>
      <c r="NFX1" s="293"/>
      <c r="NFY1" s="293"/>
      <c r="NFZ1" s="293"/>
      <c r="NGA1" s="293"/>
      <c r="NGB1" s="293"/>
      <c r="NGC1" s="293"/>
      <c r="NGD1" s="293"/>
      <c r="NGE1" s="293"/>
      <c r="NGF1" s="293"/>
      <c r="NGG1" s="293"/>
      <c r="NGH1" s="293"/>
      <c r="NGI1" s="293"/>
      <c r="NGJ1" s="293"/>
      <c r="NGK1" s="293"/>
      <c r="NGL1" s="293"/>
      <c r="NGM1" s="293"/>
      <c r="NGN1" s="293"/>
      <c r="NGO1" s="293"/>
      <c r="NGP1" s="293"/>
      <c r="NGQ1" s="293"/>
      <c r="NGR1" s="293"/>
      <c r="NGS1" s="293"/>
      <c r="NGT1" s="293"/>
      <c r="NGU1" s="293"/>
      <c r="NGV1" s="293"/>
      <c r="NGW1" s="293"/>
      <c r="NGX1" s="293"/>
      <c r="NGY1" s="293"/>
      <c r="NGZ1" s="293"/>
      <c r="NHA1" s="293"/>
      <c r="NHB1" s="293"/>
      <c r="NHC1" s="293"/>
      <c r="NHD1" s="293"/>
      <c r="NHE1" s="293"/>
      <c r="NHF1" s="293"/>
      <c r="NHG1" s="293"/>
      <c r="NHH1" s="293"/>
      <c r="NHI1" s="293"/>
      <c r="NHJ1" s="293"/>
      <c r="NHK1" s="293"/>
      <c r="NHL1" s="293"/>
      <c r="NHM1" s="293"/>
      <c r="NHN1" s="293"/>
      <c r="NHO1" s="293"/>
      <c r="NHP1" s="293"/>
      <c r="NHQ1" s="293"/>
      <c r="NHR1" s="293"/>
      <c r="NHS1" s="293"/>
      <c r="NHT1" s="293"/>
      <c r="NHU1" s="293"/>
      <c r="NHV1" s="293"/>
      <c r="NHW1" s="293"/>
      <c r="NHX1" s="293"/>
      <c r="NHY1" s="293"/>
      <c r="NHZ1" s="293"/>
      <c r="NIA1" s="293"/>
      <c r="NIB1" s="293"/>
      <c r="NIC1" s="293"/>
      <c r="NID1" s="293"/>
      <c r="NIE1" s="293"/>
      <c r="NIF1" s="293"/>
      <c r="NIG1" s="293"/>
      <c r="NIH1" s="293"/>
      <c r="NII1" s="293"/>
      <c r="NIJ1" s="293"/>
      <c r="NIK1" s="293"/>
      <c r="NIL1" s="293"/>
      <c r="NIM1" s="293"/>
      <c r="NIN1" s="293"/>
      <c r="NIO1" s="293"/>
      <c r="NIP1" s="293"/>
      <c r="NIQ1" s="293"/>
      <c r="NIR1" s="293"/>
      <c r="NIS1" s="293"/>
      <c r="NIT1" s="293"/>
      <c r="NIU1" s="293"/>
      <c r="NIV1" s="293"/>
      <c r="NIW1" s="293"/>
      <c r="NIX1" s="293"/>
      <c r="NIY1" s="293"/>
      <c r="NIZ1" s="293"/>
      <c r="NJA1" s="293"/>
      <c r="NJB1" s="293"/>
      <c r="NJC1" s="293"/>
      <c r="NJD1" s="293"/>
      <c r="NJE1" s="293"/>
      <c r="NJF1" s="293"/>
      <c r="NJG1" s="293"/>
      <c r="NJH1" s="293"/>
      <c r="NJI1" s="293"/>
      <c r="NJJ1" s="293"/>
      <c r="NJK1" s="293"/>
      <c r="NJL1" s="293"/>
      <c r="NJM1" s="293"/>
      <c r="NJN1" s="293"/>
      <c r="NJO1" s="293"/>
      <c r="NJP1" s="293"/>
      <c r="NJQ1" s="293"/>
      <c r="NJR1" s="293"/>
      <c r="NJS1" s="293"/>
      <c r="NJT1" s="293"/>
      <c r="NJU1" s="293"/>
      <c r="NJV1" s="293"/>
      <c r="NJW1" s="293"/>
      <c r="NJX1" s="293"/>
      <c r="NJY1" s="293"/>
      <c r="NJZ1" s="293"/>
      <c r="NKA1" s="293"/>
      <c r="NKB1" s="293"/>
      <c r="NKC1" s="293"/>
      <c r="NKD1" s="293"/>
      <c r="NKE1" s="293"/>
      <c r="NKF1" s="293"/>
      <c r="NKG1" s="293"/>
      <c r="NKH1" s="293"/>
      <c r="NKI1" s="293"/>
      <c r="NKJ1" s="293"/>
      <c r="NKK1" s="293"/>
      <c r="NKL1" s="293"/>
      <c r="NKM1" s="293"/>
      <c r="NKN1" s="293"/>
      <c r="NKO1" s="293"/>
      <c r="NKP1" s="293"/>
      <c r="NKQ1" s="293"/>
      <c r="NKR1" s="293"/>
      <c r="NKS1" s="293"/>
      <c r="NKT1" s="293"/>
      <c r="NKU1" s="293"/>
      <c r="NKV1" s="293"/>
      <c r="NKW1" s="293"/>
      <c r="NKX1" s="293"/>
      <c r="NKY1" s="293"/>
      <c r="NKZ1" s="293"/>
      <c r="NLA1" s="293"/>
      <c r="NLB1" s="293"/>
      <c r="NLC1" s="293"/>
      <c r="NLD1" s="293"/>
      <c r="NLE1" s="293"/>
      <c r="NLF1" s="293"/>
      <c r="NLG1" s="293"/>
      <c r="NLH1" s="293"/>
      <c r="NLI1" s="293"/>
      <c r="NLJ1" s="293"/>
      <c r="NLK1" s="293"/>
      <c r="NLL1" s="293"/>
      <c r="NLM1" s="293"/>
      <c r="NLN1" s="293"/>
      <c r="NLO1" s="293"/>
      <c r="NLP1" s="293"/>
      <c r="NLQ1" s="293"/>
      <c r="NLR1" s="293"/>
      <c r="NLS1" s="293"/>
      <c r="NLT1" s="293"/>
      <c r="NLU1" s="293"/>
      <c r="NLV1" s="293"/>
      <c r="NLW1" s="293"/>
      <c r="NLX1" s="293"/>
      <c r="NLY1" s="293"/>
      <c r="NLZ1" s="293"/>
      <c r="NMA1" s="293"/>
      <c r="NMB1" s="293"/>
      <c r="NMC1" s="293"/>
      <c r="NMD1" s="293"/>
      <c r="NME1" s="293"/>
      <c r="NMF1" s="293"/>
      <c r="NMG1" s="293"/>
      <c r="NMH1" s="293"/>
      <c r="NMI1" s="293"/>
      <c r="NMJ1" s="293"/>
      <c r="NMK1" s="293"/>
      <c r="NML1" s="293"/>
      <c r="NMM1" s="293"/>
      <c r="NMN1" s="293"/>
      <c r="NMO1" s="293"/>
      <c r="NMP1" s="293"/>
      <c r="NMQ1" s="293"/>
      <c r="NMR1" s="293"/>
      <c r="NMS1" s="293"/>
      <c r="NMT1" s="293"/>
      <c r="NMU1" s="293"/>
      <c r="NMV1" s="293"/>
      <c r="NMW1" s="293"/>
      <c r="NMX1" s="293"/>
      <c r="NMY1" s="293"/>
      <c r="NMZ1" s="293"/>
      <c r="NNA1" s="293"/>
      <c r="NNB1" s="293"/>
      <c r="NNC1" s="293"/>
      <c r="NND1" s="293"/>
      <c r="NNE1" s="293"/>
      <c r="NNF1" s="293"/>
      <c r="NNG1" s="293"/>
      <c r="NNH1" s="293"/>
      <c r="NNI1" s="293"/>
      <c r="NNJ1" s="293"/>
      <c r="NNK1" s="293"/>
      <c r="NNL1" s="293"/>
      <c r="NNM1" s="293"/>
      <c r="NNN1" s="293"/>
      <c r="NNO1" s="293"/>
      <c r="NNP1" s="293"/>
      <c r="NNQ1" s="293"/>
      <c r="NNR1" s="293"/>
      <c r="NNS1" s="293"/>
      <c r="NNT1" s="293"/>
      <c r="NNU1" s="293"/>
      <c r="NNV1" s="293"/>
      <c r="NNW1" s="293"/>
      <c r="NNX1" s="293"/>
      <c r="NNY1" s="293"/>
      <c r="NNZ1" s="293"/>
      <c r="NOA1" s="293"/>
      <c r="NOB1" s="293"/>
      <c r="NOC1" s="293"/>
      <c r="NOD1" s="293"/>
      <c r="NOE1" s="293"/>
      <c r="NOF1" s="293"/>
      <c r="NOG1" s="293"/>
      <c r="NOH1" s="293"/>
      <c r="NOI1" s="293"/>
      <c r="NOJ1" s="293"/>
      <c r="NOK1" s="293"/>
      <c r="NOL1" s="293"/>
      <c r="NOM1" s="293"/>
      <c r="NON1" s="293"/>
      <c r="NOO1" s="293"/>
      <c r="NOP1" s="293"/>
      <c r="NOQ1" s="293"/>
      <c r="NOR1" s="293"/>
      <c r="NOS1" s="293"/>
      <c r="NOT1" s="293"/>
      <c r="NOU1" s="293"/>
      <c r="NOV1" s="293"/>
      <c r="NOW1" s="293"/>
      <c r="NOX1" s="293"/>
      <c r="NOY1" s="293"/>
      <c r="NOZ1" s="293"/>
      <c r="NPA1" s="293"/>
      <c r="NPB1" s="293"/>
      <c r="NPC1" s="293"/>
      <c r="NPD1" s="293"/>
      <c r="NPE1" s="293"/>
      <c r="NPF1" s="293"/>
      <c r="NPG1" s="293"/>
      <c r="NPH1" s="293"/>
      <c r="NPI1" s="293"/>
      <c r="NPJ1" s="293"/>
      <c r="NPK1" s="293"/>
      <c r="NPL1" s="293"/>
      <c r="NPM1" s="293"/>
      <c r="NPN1" s="293"/>
      <c r="NPO1" s="293"/>
      <c r="NPP1" s="293"/>
      <c r="NPQ1" s="293"/>
      <c r="NPR1" s="293"/>
      <c r="NPS1" s="293"/>
      <c r="NPT1" s="293"/>
      <c r="NPU1" s="293"/>
      <c r="NPV1" s="293"/>
      <c r="NPW1" s="293"/>
      <c r="NPX1" s="293"/>
      <c r="NPY1" s="293"/>
      <c r="NPZ1" s="293"/>
      <c r="NQA1" s="293"/>
      <c r="NQB1" s="293"/>
      <c r="NQC1" s="293"/>
      <c r="NQD1" s="293"/>
      <c r="NQE1" s="293"/>
      <c r="NQF1" s="293"/>
      <c r="NQG1" s="293"/>
      <c r="NQH1" s="293"/>
      <c r="NQI1" s="293"/>
      <c r="NQJ1" s="293"/>
      <c r="NQK1" s="293"/>
      <c r="NQL1" s="293"/>
      <c r="NQM1" s="293"/>
      <c r="NQN1" s="293"/>
      <c r="NQO1" s="293"/>
      <c r="NQP1" s="293"/>
      <c r="NQQ1" s="293"/>
      <c r="NQR1" s="293"/>
      <c r="NQS1" s="293"/>
      <c r="NQT1" s="293"/>
      <c r="NQU1" s="293"/>
      <c r="NQV1" s="293"/>
      <c r="NQW1" s="293"/>
      <c r="NQX1" s="293"/>
      <c r="NQY1" s="293"/>
      <c r="NQZ1" s="293"/>
      <c r="NRA1" s="293"/>
      <c r="NRB1" s="293"/>
      <c r="NRC1" s="293"/>
      <c r="NRD1" s="293"/>
      <c r="NRE1" s="293"/>
      <c r="NRF1" s="293"/>
      <c r="NRG1" s="293"/>
      <c r="NRH1" s="293"/>
      <c r="NRI1" s="293"/>
      <c r="NRJ1" s="293"/>
      <c r="NRK1" s="293"/>
      <c r="NRL1" s="293"/>
      <c r="NRM1" s="293"/>
      <c r="NRN1" s="293"/>
      <c r="NRO1" s="293"/>
      <c r="NRP1" s="293"/>
      <c r="NRQ1" s="293"/>
      <c r="NRR1" s="293"/>
      <c r="NRS1" s="293"/>
      <c r="NRT1" s="293"/>
      <c r="NRU1" s="293"/>
      <c r="NRV1" s="293"/>
      <c r="NRW1" s="293"/>
      <c r="NRX1" s="293"/>
      <c r="NRY1" s="293"/>
      <c r="NRZ1" s="293"/>
      <c r="NSA1" s="293"/>
      <c r="NSB1" s="293"/>
      <c r="NSC1" s="293"/>
      <c r="NSD1" s="293"/>
      <c r="NSE1" s="293"/>
      <c r="NSF1" s="293"/>
      <c r="NSG1" s="293"/>
      <c r="NSH1" s="293"/>
      <c r="NSI1" s="293"/>
      <c r="NSJ1" s="293"/>
      <c r="NSK1" s="293"/>
      <c r="NSL1" s="293"/>
      <c r="NSM1" s="293"/>
      <c r="NSN1" s="293"/>
      <c r="NSO1" s="293"/>
      <c r="NSP1" s="293"/>
      <c r="NSQ1" s="293"/>
      <c r="NSR1" s="293"/>
      <c r="NSS1" s="293"/>
      <c r="NST1" s="293"/>
      <c r="NSU1" s="293"/>
      <c r="NSV1" s="293"/>
      <c r="NSW1" s="293"/>
      <c r="NSX1" s="293"/>
      <c r="NSY1" s="293"/>
      <c r="NSZ1" s="293"/>
      <c r="NTA1" s="293"/>
      <c r="NTB1" s="293"/>
      <c r="NTC1" s="293"/>
      <c r="NTD1" s="293"/>
      <c r="NTE1" s="293"/>
      <c r="NTF1" s="293"/>
      <c r="NTG1" s="293"/>
      <c r="NTH1" s="293"/>
      <c r="NTI1" s="293"/>
      <c r="NTJ1" s="293"/>
      <c r="NTK1" s="293"/>
      <c r="NTL1" s="293"/>
      <c r="NTM1" s="293"/>
      <c r="NTN1" s="293"/>
      <c r="NTO1" s="293"/>
      <c r="NTP1" s="293"/>
      <c r="NTQ1" s="293"/>
      <c r="NTR1" s="293"/>
      <c r="NTS1" s="293"/>
      <c r="NTT1" s="293"/>
      <c r="NTU1" s="293"/>
      <c r="NTV1" s="293"/>
      <c r="NTW1" s="293"/>
      <c r="NTX1" s="293"/>
      <c r="NTY1" s="293"/>
      <c r="NTZ1" s="293"/>
      <c r="NUA1" s="293"/>
      <c r="NUB1" s="293"/>
      <c r="NUC1" s="293"/>
      <c r="NUD1" s="293"/>
      <c r="NUE1" s="293"/>
      <c r="NUF1" s="293"/>
      <c r="NUG1" s="293"/>
      <c r="NUH1" s="293"/>
      <c r="NUI1" s="293"/>
      <c r="NUJ1" s="293"/>
      <c r="NUK1" s="293"/>
      <c r="NUL1" s="293"/>
      <c r="NUM1" s="293"/>
      <c r="NUN1" s="293"/>
      <c r="NUO1" s="293"/>
      <c r="NUP1" s="293"/>
      <c r="NUQ1" s="293"/>
      <c r="NUR1" s="293"/>
      <c r="NUS1" s="293"/>
      <c r="NUT1" s="293"/>
      <c r="NUU1" s="293"/>
      <c r="NUV1" s="293"/>
      <c r="NUW1" s="293"/>
      <c r="NUX1" s="293"/>
      <c r="NUY1" s="293"/>
      <c r="NUZ1" s="293"/>
      <c r="NVA1" s="293"/>
      <c r="NVB1" s="293"/>
      <c r="NVC1" s="293"/>
      <c r="NVD1" s="293"/>
      <c r="NVE1" s="293"/>
      <c r="NVF1" s="293"/>
      <c r="NVG1" s="293"/>
      <c r="NVH1" s="293"/>
      <c r="NVI1" s="293"/>
      <c r="NVJ1" s="293"/>
      <c r="NVK1" s="293"/>
      <c r="NVL1" s="293"/>
      <c r="NVM1" s="293"/>
      <c r="NVN1" s="293"/>
      <c r="NVO1" s="293"/>
      <c r="NVP1" s="293"/>
      <c r="NVQ1" s="293"/>
      <c r="NVR1" s="293"/>
      <c r="NVS1" s="293"/>
      <c r="NVT1" s="293"/>
      <c r="NVU1" s="293"/>
      <c r="NVV1" s="293"/>
      <c r="NVW1" s="293"/>
      <c r="NVX1" s="293"/>
      <c r="NVY1" s="293"/>
      <c r="NVZ1" s="293"/>
      <c r="NWA1" s="293"/>
      <c r="NWB1" s="293"/>
      <c r="NWC1" s="293"/>
      <c r="NWD1" s="293"/>
      <c r="NWE1" s="293"/>
      <c r="NWF1" s="293"/>
      <c r="NWG1" s="293"/>
      <c r="NWH1" s="293"/>
      <c r="NWI1" s="293"/>
      <c r="NWJ1" s="293"/>
      <c r="NWK1" s="293"/>
      <c r="NWL1" s="293"/>
      <c r="NWM1" s="293"/>
      <c r="NWN1" s="293"/>
      <c r="NWO1" s="293"/>
      <c r="NWP1" s="293"/>
      <c r="NWQ1" s="293"/>
      <c r="NWR1" s="293"/>
      <c r="NWS1" s="293"/>
      <c r="NWT1" s="293"/>
      <c r="NWU1" s="293"/>
      <c r="NWV1" s="293"/>
      <c r="NWW1" s="293"/>
      <c r="NWX1" s="293"/>
      <c r="NWY1" s="293"/>
      <c r="NWZ1" s="293"/>
      <c r="NXA1" s="293"/>
      <c r="NXB1" s="293"/>
      <c r="NXC1" s="293"/>
      <c r="NXD1" s="293"/>
      <c r="NXE1" s="293"/>
      <c r="NXF1" s="293"/>
      <c r="NXG1" s="293"/>
      <c r="NXH1" s="293"/>
      <c r="NXI1" s="293"/>
      <c r="NXJ1" s="293"/>
      <c r="NXK1" s="293"/>
      <c r="NXL1" s="293"/>
      <c r="NXM1" s="293"/>
      <c r="NXN1" s="293"/>
      <c r="NXO1" s="293"/>
      <c r="NXP1" s="293"/>
      <c r="NXQ1" s="293"/>
      <c r="NXR1" s="293"/>
      <c r="NXS1" s="293"/>
      <c r="NXT1" s="293"/>
      <c r="NXU1" s="293"/>
      <c r="NXV1" s="293"/>
      <c r="NXW1" s="293"/>
      <c r="NXX1" s="293"/>
      <c r="NXY1" s="293"/>
      <c r="NXZ1" s="293"/>
      <c r="NYA1" s="293"/>
      <c r="NYB1" s="293"/>
      <c r="NYC1" s="293"/>
      <c r="NYD1" s="293"/>
      <c r="NYE1" s="293"/>
      <c r="NYF1" s="293"/>
      <c r="NYG1" s="293"/>
      <c r="NYH1" s="293"/>
      <c r="NYI1" s="293"/>
      <c r="NYJ1" s="293"/>
      <c r="NYK1" s="293"/>
      <c r="NYL1" s="293"/>
      <c r="NYM1" s="293"/>
      <c r="NYN1" s="293"/>
      <c r="NYO1" s="293"/>
      <c r="NYP1" s="293"/>
      <c r="NYQ1" s="293"/>
      <c r="NYR1" s="293"/>
      <c r="NYS1" s="293"/>
      <c r="NYT1" s="293"/>
      <c r="NYU1" s="293"/>
      <c r="NYV1" s="293"/>
      <c r="NYW1" s="293"/>
      <c r="NYX1" s="293"/>
      <c r="NYY1" s="293"/>
      <c r="NYZ1" s="293"/>
      <c r="NZA1" s="293"/>
      <c r="NZB1" s="293"/>
      <c r="NZC1" s="293"/>
      <c r="NZD1" s="293"/>
      <c r="NZE1" s="293"/>
      <c r="NZF1" s="293"/>
      <c r="NZG1" s="293"/>
      <c r="NZH1" s="293"/>
      <c r="NZI1" s="293"/>
      <c r="NZJ1" s="293"/>
      <c r="NZK1" s="293"/>
      <c r="NZL1" s="293"/>
      <c r="NZM1" s="293"/>
      <c r="NZN1" s="293"/>
      <c r="NZO1" s="293"/>
      <c r="NZP1" s="293"/>
      <c r="NZQ1" s="293"/>
      <c r="NZR1" s="293"/>
      <c r="NZS1" s="293"/>
      <c r="NZT1" s="293"/>
      <c r="NZU1" s="293"/>
      <c r="NZV1" s="293"/>
      <c r="NZW1" s="293"/>
      <c r="NZX1" s="293"/>
      <c r="NZY1" s="293"/>
      <c r="NZZ1" s="293"/>
      <c r="OAA1" s="293"/>
      <c r="OAB1" s="293"/>
      <c r="OAC1" s="293"/>
      <c r="OAD1" s="293"/>
      <c r="OAE1" s="293"/>
      <c r="OAF1" s="293"/>
      <c r="OAG1" s="293"/>
      <c r="OAH1" s="293"/>
      <c r="OAI1" s="293"/>
      <c r="OAJ1" s="293"/>
      <c r="OAK1" s="293"/>
      <c r="OAL1" s="293"/>
      <c r="OAM1" s="293"/>
      <c r="OAN1" s="293"/>
      <c r="OAO1" s="293"/>
      <c r="OAP1" s="293"/>
      <c r="OAQ1" s="293"/>
      <c r="OAR1" s="293"/>
      <c r="OAS1" s="293"/>
      <c r="OAT1" s="293"/>
      <c r="OAU1" s="293"/>
      <c r="OAV1" s="293"/>
      <c r="OAW1" s="293"/>
      <c r="OAX1" s="293"/>
      <c r="OAY1" s="293"/>
      <c r="OAZ1" s="293"/>
      <c r="OBA1" s="293"/>
      <c r="OBB1" s="293"/>
      <c r="OBC1" s="293"/>
      <c r="OBD1" s="293"/>
      <c r="OBE1" s="293"/>
      <c r="OBF1" s="293"/>
      <c r="OBG1" s="293"/>
      <c r="OBH1" s="293"/>
      <c r="OBI1" s="293"/>
      <c r="OBJ1" s="293"/>
      <c r="OBK1" s="293"/>
      <c r="OBL1" s="293"/>
      <c r="OBM1" s="293"/>
      <c r="OBN1" s="293"/>
      <c r="OBO1" s="293"/>
      <c r="OBP1" s="293"/>
      <c r="OBQ1" s="293"/>
      <c r="OBR1" s="293"/>
      <c r="OBS1" s="293"/>
      <c r="OBT1" s="293"/>
      <c r="OBU1" s="293"/>
      <c r="OBV1" s="293"/>
      <c r="OBW1" s="293"/>
      <c r="OBX1" s="293"/>
      <c r="OBY1" s="293"/>
      <c r="OBZ1" s="293"/>
      <c r="OCA1" s="293"/>
      <c r="OCB1" s="293"/>
      <c r="OCC1" s="293"/>
      <c r="OCD1" s="293"/>
      <c r="OCE1" s="293"/>
      <c r="OCF1" s="293"/>
      <c r="OCG1" s="293"/>
      <c r="OCH1" s="293"/>
      <c r="OCI1" s="293"/>
      <c r="OCJ1" s="293"/>
      <c r="OCK1" s="293"/>
      <c r="OCL1" s="293"/>
      <c r="OCM1" s="293"/>
      <c r="OCN1" s="293"/>
      <c r="OCO1" s="293"/>
      <c r="OCP1" s="293"/>
      <c r="OCQ1" s="293"/>
      <c r="OCR1" s="293"/>
      <c r="OCS1" s="293"/>
      <c r="OCT1" s="293"/>
      <c r="OCU1" s="293"/>
      <c r="OCV1" s="293"/>
      <c r="OCW1" s="293"/>
      <c r="OCX1" s="293"/>
      <c r="OCY1" s="293"/>
      <c r="OCZ1" s="293"/>
      <c r="ODA1" s="293"/>
      <c r="ODB1" s="293"/>
      <c r="ODC1" s="293"/>
      <c r="ODD1" s="293"/>
      <c r="ODE1" s="293"/>
      <c r="ODF1" s="293"/>
      <c r="ODG1" s="293"/>
      <c r="ODH1" s="293"/>
      <c r="ODI1" s="293"/>
      <c r="ODJ1" s="293"/>
      <c r="ODK1" s="293"/>
      <c r="ODL1" s="293"/>
      <c r="ODM1" s="293"/>
      <c r="ODN1" s="293"/>
      <c r="ODO1" s="293"/>
      <c r="ODP1" s="293"/>
      <c r="ODQ1" s="293"/>
      <c r="ODR1" s="293"/>
      <c r="ODS1" s="293"/>
      <c r="ODT1" s="293"/>
      <c r="ODU1" s="293"/>
      <c r="ODV1" s="293"/>
      <c r="ODW1" s="293"/>
      <c r="ODX1" s="293"/>
      <c r="ODY1" s="293"/>
      <c r="ODZ1" s="293"/>
      <c r="OEA1" s="293"/>
      <c r="OEB1" s="293"/>
      <c r="OEC1" s="293"/>
      <c r="OED1" s="293"/>
      <c r="OEE1" s="293"/>
      <c r="OEF1" s="293"/>
      <c r="OEG1" s="293"/>
      <c r="OEH1" s="293"/>
      <c r="OEI1" s="293"/>
      <c r="OEJ1" s="293"/>
      <c r="OEK1" s="293"/>
      <c r="OEL1" s="293"/>
      <c r="OEM1" s="293"/>
      <c r="OEN1" s="293"/>
      <c r="OEO1" s="293"/>
      <c r="OEP1" s="293"/>
      <c r="OEQ1" s="293"/>
      <c r="OER1" s="293"/>
      <c r="OES1" s="293"/>
      <c r="OET1" s="293"/>
      <c r="OEU1" s="293"/>
      <c r="OEV1" s="293"/>
      <c r="OEW1" s="293"/>
      <c r="OEX1" s="293"/>
      <c r="OEY1" s="293"/>
      <c r="OEZ1" s="293"/>
      <c r="OFA1" s="293"/>
      <c r="OFB1" s="293"/>
      <c r="OFC1" s="293"/>
      <c r="OFD1" s="293"/>
      <c r="OFE1" s="293"/>
      <c r="OFF1" s="293"/>
      <c r="OFG1" s="293"/>
      <c r="OFH1" s="293"/>
      <c r="OFI1" s="293"/>
      <c r="OFJ1" s="293"/>
      <c r="OFK1" s="293"/>
      <c r="OFL1" s="293"/>
      <c r="OFM1" s="293"/>
      <c r="OFN1" s="293"/>
      <c r="OFO1" s="293"/>
      <c r="OFP1" s="293"/>
      <c r="OFQ1" s="293"/>
      <c r="OFR1" s="293"/>
      <c r="OFS1" s="293"/>
      <c r="OFT1" s="293"/>
      <c r="OFU1" s="293"/>
      <c r="OFV1" s="293"/>
      <c r="OFW1" s="293"/>
      <c r="OFX1" s="293"/>
      <c r="OFY1" s="293"/>
      <c r="OFZ1" s="293"/>
      <c r="OGA1" s="293"/>
      <c r="OGB1" s="293"/>
      <c r="OGC1" s="293"/>
      <c r="OGD1" s="293"/>
      <c r="OGE1" s="293"/>
      <c r="OGF1" s="293"/>
      <c r="OGG1" s="293"/>
      <c r="OGH1" s="293"/>
      <c r="OGI1" s="293"/>
      <c r="OGJ1" s="293"/>
      <c r="OGK1" s="293"/>
      <c r="OGL1" s="293"/>
      <c r="OGM1" s="293"/>
      <c r="OGN1" s="293"/>
      <c r="OGO1" s="293"/>
      <c r="OGP1" s="293"/>
      <c r="OGQ1" s="293"/>
      <c r="OGR1" s="293"/>
      <c r="OGS1" s="293"/>
      <c r="OGT1" s="293"/>
      <c r="OGU1" s="293"/>
      <c r="OGV1" s="293"/>
      <c r="OGW1" s="293"/>
      <c r="OGX1" s="293"/>
      <c r="OGY1" s="293"/>
      <c r="OGZ1" s="293"/>
      <c r="OHA1" s="293"/>
      <c r="OHB1" s="293"/>
      <c r="OHC1" s="293"/>
      <c r="OHD1" s="293"/>
      <c r="OHE1" s="293"/>
      <c r="OHF1" s="293"/>
      <c r="OHG1" s="293"/>
      <c r="OHH1" s="293"/>
      <c r="OHI1" s="293"/>
      <c r="OHJ1" s="293"/>
      <c r="OHK1" s="293"/>
      <c r="OHL1" s="293"/>
      <c r="OHM1" s="293"/>
      <c r="OHN1" s="293"/>
      <c r="OHO1" s="293"/>
      <c r="OHP1" s="293"/>
      <c r="OHQ1" s="293"/>
      <c r="OHR1" s="293"/>
      <c r="OHS1" s="293"/>
      <c r="OHT1" s="293"/>
      <c r="OHU1" s="293"/>
      <c r="OHV1" s="293"/>
      <c r="OHW1" s="293"/>
      <c r="OHX1" s="293"/>
      <c r="OHY1" s="293"/>
      <c r="OHZ1" s="293"/>
      <c r="OIA1" s="293"/>
      <c r="OIB1" s="293"/>
      <c r="OIC1" s="293"/>
      <c r="OID1" s="293"/>
      <c r="OIE1" s="293"/>
      <c r="OIF1" s="293"/>
      <c r="OIG1" s="293"/>
      <c r="OIH1" s="293"/>
      <c r="OII1" s="293"/>
      <c r="OIJ1" s="293"/>
      <c r="OIK1" s="293"/>
      <c r="OIL1" s="293"/>
      <c r="OIM1" s="293"/>
      <c r="OIN1" s="293"/>
      <c r="OIO1" s="293"/>
      <c r="OIP1" s="293"/>
      <c r="OIQ1" s="293"/>
      <c r="OIR1" s="293"/>
      <c r="OIS1" s="293"/>
      <c r="OIT1" s="293"/>
      <c r="OIU1" s="293"/>
      <c r="OIV1" s="293"/>
      <c r="OIW1" s="293"/>
      <c r="OIX1" s="293"/>
      <c r="OIY1" s="293"/>
      <c r="OIZ1" s="293"/>
      <c r="OJA1" s="293"/>
      <c r="OJB1" s="293"/>
      <c r="OJC1" s="293"/>
      <c r="OJD1" s="293"/>
      <c r="OJE1" s="293"/>
      <c r="OJF1" s="293"/>
      <c r="OJG1" s="293"/>
      <c r="OJH1" s="293"/>
      <c r="OJI1" s="293"/>
      <c r="OJJ1" s="293"/>
      <c r="OJK1" s="293"/>
      <c r="OJL1" s="293"/>
      <c r="OJM1" s="293"/>
      <c r="OJN1" s="293"/>
      <c r="OJO1" s="293"/>
      <c r="OJP1" s="293"/>
      <c r="OJQ1" s="293"/>
      <c r="OJR1" s="293"/>
      <c r="OJS1" s="293"/>
      <c r="OJT1" s="293"/>
      <c r="OJU1" s="293"/>
      <c r="OJV1" s="293"/>
      <c r="OJW1" s="293"/>
      <c r="OJX1" s="293"/>
      <c r="OJY1" s="293"/>
      <c r="OJZ1" s="293"/>
      <c r="OKA1" s="293"/>
      <c r="OKB1" s="293"/>
      <c r="OKC1" s="293"/>
      <c r="OKD1" s="293"/>
      <c r="OKE1" s="293"/>
      <c r="OKF1" s="293"/>
      <c r="OKG1" s="293"/>
      <c r="OKH1" s="293"/>
      <c r="OKI1" s="293"/>
      <c r="OKJ1" s="293"/>
      <c r="OKK1" s="293"/>
      <c r="OKL1" s="293"/>
      <c r="OKM1" s="293"/>
      <c r="OKN1" s="293"/>
      <c r="OKO1" s="293"/>
      <c r="OKP1" s="293"/>
      <c r="OKQ1" s="293"/>
      <c r="OKR1" s="293"/>
      <c r="OKS1" s="293"/>
      <c r="OKT1" s="293"/>
      <c r="OKU1" s="293"/>
      <c r="OKV1" s="293"/>
      <c r="OKW1" s="293"/>
      <c r="OKX1" s="293"/>
      <c r="OKY1" s="293"/>
      <c r="OKZ1" s="293"/>
      <c r="OLA1" s="293"/>
      <c r="OLB1" s="293"/>
      <c r="OLC1" s="293"/>
      <c r="OLD1" s="293"/>
      <c r="OLE1" s="293"/>
      <c r="OLF1" s="293"/>
      <c r="OLG1" s="293"/>
      <c r="OLH1" s="293"/>
      <c r="OLI1" s="293"/>
      <c r="OLJ1" s="293"/>
      <c r="OLK1" s="293"/>
      <c r="OLL1" s="293"/>
      <c r="OLM1" s="293"/>
      <c r="OLN1" s="293"/>
      <c r="OLO1" s="293"/>
      <c r="OLP1" s="293"/>
      <c r="OLQ1" s="293"/>
      <c r="OLR1" s="293"/>
      <c r="OLS1" s="293"/>
      <c r="OLT1" s="293"/>
      <c r="OLU1" s="293"/>
      <c r="OLV1" s="293"/>
      <c r="OLW1" s="293"/>
      <c r="OLX1" s="293"/>
      <c r="OLY1" s="293"/>
      <c r="OLZ1" s="293"/>
      <c r="OMA1" s="293"/>
      <c r="OMB1" s="293"/>
      <c r="OMC1" s="293"/>
      <c r="OMD1" s="293"/>
      <c r="OME1" s="293"/>
      <c r="OMF1" s="293"/>
      <c r="OMG1" s="293"/>
      <c r="OMH1" s="293"/>
      <c r="OMI1" s="293"/>
      <c r="OMJ1" s="293"/>
      <c r="OMK1" s="293"/>
      <c r="OML1" s="293"/>
      <c r="OMM1" s="293"/>
      <c r="OMN1" s="293"/>
      <c r="OMO1" s="293"/>
      <c r="OMP1" s="293"/>
      <c r="OMQ1" s="293"/>
      <c r="OMR1" s="293"/>
      <c r="OMS1" s="293"/>
      <c r="OMT1" s="293"/>
      <c r="OMU1" s="293"/>
      <c r="OMV1" s="293"/>
      <c r="OMW1" s="293"/>
      <c r="OMX1" s="293"/>
      <c r="OMY1" s="293"/>
      <c r="OMZ1" s="293"/>
      <c r="ONA1" s="293"/>
      <c r="ONB1" s="293"/>
      <c r="ONC1" s="293"/>
      <c r="OND1" s="293"/>
      <c r="ONE1" s="293"/>
      <c r="ONF1" s="293"/>
      <c r="ONG1" s="293"/>
      <c r="ONH1" s="293"/>
      <c r="ONI1" s="293"/>
      <c r="ONJ1" s="293"/>
      <c r="ONK1" s="293"/>
      <c r="ONL1" s="293"/>
      <c r="ONM1" s="293"/>
      <c r="ONN1" s="293"/>
      <c r="ONO1" s="293"/>
      <c r="ONP1" s="293"/>
      <c r="ONQ1" s="293"/>
      <c r="ONR1" s="293"/>
      <c r="ONS1" s="293"/>
      <c r="ONT1" s="293"/>
      <c r="ONU1" s="293"/>
      <c r="ONV1" s="293"/>
      <c r="ONW1" s="293"/>
      <c r="ONX1" s="293"/>
      <c r="ONY1" s="293"/>
      <c r="ONZ1" s="293"/>
      <c r="OOA1" s="293"/>
      <c r="OOB1" s="293"/>
      <c r="OOC1" s="293"/>
      <c r="OOD1" s="293"/>
      <c r="OOE1" s="293"/>
      <c r="OOF1" s="293"/>
      <c r="OOG1" s="293"/>
      <c r="OOH1" s="293"/>
      <c r="OOI1" s="293"/>
      <c r="OOJ1" s="293"/>
      <c r="OOK1" s="293"/>
      <c r="OOL1" s="293"/>
      <c r="OOM1" s="293"/>
      <c r="OON1" s="293"/>
      <c r="OOO1" s="293"/>
      <c r="OOP1" s="293"/>
      <c r="OOQ1" s="293"/>
      <c r="OOR1" s="293"/>
      <c r="OOS1" s="293"/>
      <c r="OOT1" s="293"/>
      <c r="OOU1" s="293"/>
      <c r="OOV1" s="293"/>
      <c r="OOW1" s="293"/>
      <c r="OOX1" s="293"/>
      <c r="OOY1" s="293"/>
      <c r="OOZ1" s="293"/>
      <c r="OPA1" s="293"/>
      <c r="OPB1" s="293"/>
      <c r="OPC1" s="293"/>
      <c r="OPD1" s="293"/>
      <c r="OPE1" s="293"/>
      <c r="OPF1" s="293"/>
      <c r="OPG1" s="293"/>
      <c r="OPH1" s="293"/>
      <c r="OPI1" s="293"/>
      <c r="OPJ1" s="293"/>
      <c r="OPK1" s="293"/>
      <c r="OPL1" s="293"/>
      <c r="OPM1" s="293"/>
      <c r="OPN1" s="293"/>
      <c r="OPO1" s="293"/>
      <c r="OPP1" s="293"/>
      <c r="OPQ1" s="293"/>
      <c r="OPR1" s="293"/>
      <c r="OPS1" s="293"/>
      <c r="OPT1" s="293"/>
      <c r="OPU1" s="293"/>
      <c r="OPV1" s="293"/>
      <c r="OPW1" s="293"/>
      <c r="OPX1" s="293"/>
      <c r="OPY1" s="293"/>
      <c r="OPZ1" s="293"/>
      <c r="OQA1" s="293"/>
      <c r="OQB1" s="293"/>
      <c r="OQC1" s="293"/>
      <c r="OQD1" s="293"/>
      <c r="OQE1" s="293"/>
      <c r="OQF1" s="293"/>
      <c r="OQG1" s="293"/>
      <c r="OQH1" s="293"/>
      <c r="OQI1" s="293"/>
      <c r="OQJ1" s="293"/>
      <c r="OQK1" s="293"/>
      <c r="OQL1" s="293"/>
      <c r="OQM1" s="293"/>
      <c r="OQN1" s="293"/>
      <c r="OQO1" s="293"/>
      <c r="OQP1" s="293"/>
      <c r="OQQ1" s="293"/>
      <c r="OQR1" s="293"/>
      <c r="OQS1" s="293"/>
      <c r="OQT1" s="293"/>
      <c r="OQU1" s="293"/>
      <c r="OQV1" s="293"/>
      <c r="OQW1" s="293"/>
      <c r="OQX1" s="293"/>
      <c r="OQY1" s="293"/>
      <c r="OQZ1" s="293"/>
      <c r="ORA1" s="293"/>
      <c r="ORB1" s="293"/>
      <c r="ORC1" s="293"/>
      <c r="ORD1" s="293"/>
      <c r="ORE1" s="293"/>
      <c r="ORF1" s="293"/>
      <c r="ORG1" s="293"/>
      <c r="ORH1" s="293"/>
      <c r="ORI1" s="293"/>
      <c r="ORJ1" s="293"/>
      <c r="ORK1" s="293"/>
      <c r="ORL1" s="293"/>
      <c r="ORM1" s="293"/>
      <c r="ORN1" s="293"/>
      <c r="ORO1" s="293"/>
      <c r="ORP1" s="293"/>
      <c r="ORQ1" s="293"/>
      <c r="ORR1" s="293"/>
      <c r="ORS1" s="293"/>
      <c r="ORT1" s="293"/>
      <c r="ORU1" s="293"/>
      <c r="ORV1" s="293"/>
      <c r="ORW1" s="293"/>
      <c r="ORX1" s="293"/>
      <c r="ORY1" s="293"/>
      <c r="ORZ1" s="293"/>
      <c r="OSA1" s="293"/>
      <c r="OSB1" s="293"/>
      <c r="OSC1" s="293"/>
      <c r="OSD1" s="293"/>
      <c r="OSE1" s="293"/>
      <c r="OSF1" s="293"/>
      <c r="OSG1" s="293"/>
      <c r="OSH1" s="293"/>
      <c r="OSI1" s="293"/>
      <c r="OSJ1" s="293"/>
      <c r="OSK1" s="293"/>
      <c r="OSL1" s="293"/>
      <c r="OSM1" s="293"/>
      <c r="OSN1" s="293"/>
      <c r="OSO1" s="293"/>
      <c r="OSP1" s="293"/>
      <c r="OSQ1" s="293"/>
      <c r="OSR1" s="293"/>
      <c r="OSS1" s="293"/>
      <c r="OST1" s="293"/>
      <c r="OSU1" s="293"/>
      <c r="OSV1" s="293"/>
      <c r="OSW1" s="293"/>
      <c r="OSX1" s="293"/>
      <c r="OSY1" s="293"/>
      <c r="OSZ1" s="293"/>
      <c r="OTA1" s="293"/>
      <c r="OTB1" s="293"/>
      <c r="OTC1" s="293"/>
      <c r="OTD1" s="293"/>
      <c r="OTE1" s="293"/>
      <c r="OTF1" s="293"/>
      <c r="OTG1" s="293"/>
      <c r="OTH1" s="293"/>
      <c r="OTI1" s="293"/>
      <c r="OTJ1" s="293"/>
      <c r="OTK1" s="293"/>
      <c r="OTL1" s="293"/>
      <c r="OTM1" s="293"/>
      <c r="OTN1" s="293"/>
      <c r="OTO1" s="293"/>
      <c r="OTP1" s="293"/>
      <c r="OTQ1" s="293"/>
      <c r="OTR1" s="293"/>
      <c r="OTS1" s="293"/>
      <c r="OTT1" s="293"/>
      <c r="OTU1" s="293"/>
      <c r="OTV1" s="293"/>
      <c r="OTW1" s="293"/>
      <c r="OTX1" s="293"/>
      <c r="OTY1" s="293"/>
      <c r="OTZ1" s="293"/>
      <c r="OUA1" s="293"/>
      <c r="OUB1" s="293"/>
      <c r="OUC1" s="293"/>
      <c r="OUD1" s="293"/>
      <c r="OUE1" s="293"/>
      <c r="OUF1" s="293"/>
      <c r="OUG1" s="293"/>
      <c r="OUH1" s="293"/>
      <c r="OUI1" s="293"/>
      <c r="OUJ1" s="293"/>
      <c r="OUK1" s="293"/>
      <c r="OUL1" s="293"/>
      <c r="OUM1" s="293"/>
      <c r="OUN1" s="293"/>
      <c r="OUO1" s="293"/>
      <c r="OUP1" s="293"/>
      <c r="OUQ1" s="293"/>
      <c r="OUR1" s="293"/>
      <c r="OUS1" s="293"/>
      <c r="OUT1" s="293"/>
      <c r="OUU1" s="293"/>
      <c r="OUV1" s="293"/>
      <c r="OUW1" s="293"/>
      <c r="OUX1" s="293"/>
      <c r="OUY1" s="293"/>
      <c r="OUZ1" s="293"/>
      <c r="OVA1" s="293"/>
      <c r="OVB1" s="293"/>
      <c r="OVC1" s="293"/>
      <c r="OVD1" s="293"/>
      <c r="OVE1" s="293"/>
      <c r="OVF1" s="293"/>
      <c r="OVG1" s="293"/>
      <c r="OVH1" s="293"/>
      <c r="OVI1" s="293"/>
      <c r="OVJ1" s="293"/>
      <c r="OVK1" s="293"/>
      <c r="OVL1" s="293"/>
      <c r="OVM1" s="293"/>
      <c r="OVN1" s="293"/>
      <c r="OVO1" s="293"/>
      <c r="OVP1" s="293"/>
      <c r="OVQ1" s="293"/>
      <c r="OVR1" s="293"/>
      <c r="OVS1" s="293"/>
      <c r="OVT1" s="293"/>
      <c r="OVU1" s="293"/>
      <c r="OVV1" s="293"/>
      <c r="OVW1" s="293"/>
      <c r="OVX1" s="293"/>
      <c r="OVY1" s="293"/>
      <c r="OVZ1" s="293"/>
      <c r="OWA1" s="293"/>
      <c r="OWB1" s="293"/>
      <c r="OWC1" s="293"/>
      <c r="OWD1" s="293"/>
      <c r="OWE1" s="293"/>
      <c r="OWF1" s="293"/>
      <c r="OWG1" s="293"/>
      <c r="OWH1" s="293"/>
      <c r="OWI1" s="293"/>
      <c r="OWJ1" s="293"/>
      <c r="OWK1" s="293"/>
      <c r="OWL1" s="293"/>
      <c r="OWM1" s="293"/>
      <c r="OWN1" s="293"/>
      <c r="OWO1" s="293"/>
      <c r="OWP1" s="293"/>
      <c r="OWQ1" s="293"/>
      <c r="OWR1" s="293"/>
      <c r="OWS1" s="293"/>
      <c r="OWT1" s="293"/>
      <c r="OWU1" s="293"/>
      <c r="OWV1" s="293"/>
      <c r="OWW1" s="293"/>
      <c r="OWX1" s="293"/>
      <c r="OWY1" s="293"/>
      <c r="OWZ1" s="293"/>
      <c r="OXA1" s="293"/>
      <c r="OXB1" s="293"/>
      <c r="OXC1" s="293"/>
      <c r="OXD1" s="293"/>
      <c r="OXE1" s="293"/>
      <c r="OXF1" s="293"/>
      <c r="OXG1" s="293"/>
      <c r="OXH1" s="293"/>
      <c r="OXI1" s="293"/>
      <c r="OXJ1" s="293"/>
      <c r="OXK1" s="293"/>
      <c r="OXL1" s="293"/>
      <c r="OXM1" s="293"/>
      <c r="OXN1" s="293"/>
      <c r="OXO1" s="293"/>
      <c r="OXP1" s="293"/>
      <c r="OXQ1" s="293"/>
      <c r="OXR1" s="293"/>
      <c r="OXS1" s="293"/>
      <c r="OXT1" s="293"/>
      <c r="OXU1" s="293"/>
      <c r="OXV1" s="293"/>
      <c r="OXW1" s="293"/>
      <c r="OXX1" s="293"/>
      <c r="OXY1" s="293"/>
      <c r="OXZ1" s="293"/>
      <c r="OYA1" s="293"/>
      <c r="OYB1" s="293"/>
      <c r="OYC1" s="293"/>
      <c r="OYD1" s="293"/>
      <c r="OYE1" s="293"/>
      <c r="OYF1" s="293"/>
      <c r="OYG1" s="293"/>
      <c r="OYH1" s="293"/>
      <c r="OYI1" s="293"/>
      <c r="OYJ1" s="293"/>
      <c r="OYK1" s="293"/>
      <c r="OYL1" s="293"/>
      <c r="OYM1" s="293"/>
      <c r="OYN1" s="293"/>
      <c r="OYO1" s="293"/>
      <c r="OYP1" s="293"/>
      <c r="OYQ1" s="293"/>
      <c r="OYR1" s="293"/>
      <c r="OYS1" s="293"/>
      <c r="OYT1" s="293"/>
      <c r="OYU1" s="293"/>
      <c r="OYV1" s="293"/>
      <c r="OYW1" s="293"/>
      <c r="OYX1" s="293"/>
      <c r="OYY1" s="293"/>
      <c r="OYZ1" s="293"/>
      <c r="OZA1" s="293"/>
      <c r="OZB1" s="293"/>
      <c r="OZC1" s="293"/>
      <c r="OZD1" s="293"/>
      <c r="OZE1" s="293"/>
      <c r="OZF1" s="293"/>
      <c r="OZG1" s="293"/>
      <c r="OZH1" s="293"/>
      <c r="OZI1" s="293"/>
      <c r="OZJ1" s="293"/>
      <c r="OZK1" s="293"/>
      <c r="OZL1" s="293"/>
      <c r="OZM1" s="293"/>
      <c r="OZN1" s="293"/>
      <c r="OZO1" s="293"/>
      <c r="OZP1" s="293"/>
      <c r="OZQ1" s="293"/>
      <c r="OZR1" s="293"/>
      <c r="OZS1" s="293"/>
      <c r="OZT1" s="293"/>
      <c r="OZU1" s="293"/>
      <c r="OZV1" s="293"/>
      <c r="OZW1" s="293"/>
      <c r="OZX1" s="293"/>
      <c r="OZY1" s="293"/>
      <c r="OZZ1" s="293"/>
      <c r="PAA1" s="293"/>
      <c r="PAB1" s="293"/>
      <c r="PAC1" s="293"/>
      <c r="PAD1" s="293"/>
      <c r="PAE1" s="293"/>
      <c r="PAF1" s="293"/>
      <c r="PAG1" s="293"/>
      <c r="PAH1" s="293"/>
      <c r="PAI1" s="293"/>
      <c r="PAJ1" s="293"/>
      <c r="PAK1" s="293"/>
      <c r="PAL1" s="293"/>
      <c r="PAM1" s="293"/>
      <c r="PAN1" s="293"/>
      <c r="PAO1" s="293"/>
      <c r="PAP1" s="293"/>
      <c r="PAQ1" s="293"/>
      <c r="PAR1" s="293"/>
      <c r="PAS1" s="293"/>
      <c r="PAT1" s="293"/>
      <c r="PAU1" s="293"/>
      <c r="PAV1" s="293"/>
      <c r="PAW1" s="293"/>
      <c r="PAX1" s="293"/>
      <c r="PAY1" s="293"/>
      <c r="PAZ1" s="293"/>
      <c r="PBA1" s="293"/>
      <c r="PBB1" s="293"/>
      <c r="PBC1" s="293"/>
      <c r="PBD1" s="293"/>
      <c r="PBE1" s="293"/>
      <c r="PBF1" s="293"/>
      <c r="PBG1" s="293"/>
      <c r="PBH1" s="293"/>
      <c r="PBI1" s="293"/>
      <c r="PBJ1" s="293"/>
      <c r="PBK1" s="293"/>
      <c r="PBL1" s="293"/>
      <c r="PBM1" s="293"/>
      <c r="PBN1" s="293"/>
      <c r="PBO1" s="293"/>
      <c r="PBP1" s="293"/>
      <c r="PBQ1" s="293"/>
      <c r="PBR1" s="293"/>
      <c r="PBS1" s="293"/>
      <c r="PBT1" s="293"/>
      <c r="PBU1" s="293"/>
      <c r="PBV1" s="293"/>
      <c r="PBW1" s="293"/>
      <c r="PBX1" s="293"/>
      <c r="PBY1" s="293"/>
      <c r="PBZ1" s="293"/>
      <c r="PCA1" s="293"/>
      <c r="PCB1" s="293"/>
      <c r="PCC1" s="293"/>
      <c r="PCD1" s="293"/>
      <c r="PCE1" s="293"/>
      <c r="PCF1" s="293"/>
      <c r="PCG1" s="293"/>
      <c r="PCH1" s="293"/>
      <c r="PCI1" s="293"/>
      <c r="PCJ1" s="293"/>
      <c r="PCK1" s="293"/>
      <c r="PCL1" s="293"/>
      <c r="PCM1" s="293"/>
      <c r="PCN1" s="293"/>
      <c r="PCO1" s="293"/>
      <c r="PCP1" s="293"/>
      <c r="PCQ1" s="293"/>
      <c r="PCR1" s="293"/>
      <c r="PCS1" s="293"/>
      <c r="PCT1" s="293"/>
      <c r="PCU1" s="293"/>
      <c r="PCV1" s="293"/>
      <c r="PCW1" s="293"/>
      <c r="PCX1" s="293"/>
      <c r="PCY1" s="293"/>
      <c r="PCZ1" s="293"/>
      <c r="PDA1" s="293"/>
      <c r="PDB1" s="293"/>
      <c r="PDC1" s="293"/>
      <c r="PDD1" s="293"/>
      <c r="PDE1" s="293"/>
      <c r="PDF1" s="293"/>
      <c r="PDG1" s="293"/>
      <c r="PDH1" s="293"/>
      <c r="PDI1" s="293"/>
      <c r="PDJ1" s="293"/>
      <c r="PDK1" s="293"/>
      <c r="PDL1" s="293"/>
      <c r="PDM1" s="293"/>
      <c r="PDN1" s="293"/>
      <c r="PDO1" s="293"/>
      <c r="PDP1" s="293"/>
      <c r="PDQ1" s="293"/>
      <c r="PDR1" s="293"/>
      <c r="PDS1" s="293"/>
      <c r="PDT1" s="293"/>
      <c r="PDU1" s="293"/>
      <c r="PDV1" s="293"/>
      <c r="PDW1" s="293"/>
      <c r="PDX1" s="293"/>
      <c r="PDY1" s="293"/>
      <c r="PDZ1" s="293"/>
      <c r="PEA1" s="293"/>
      <c r="PEB1" s="293"/>
      <c r="PEC1" s="293"/>
      <c r="PED1" s="293"/>
      <c r="PEE1" s="293"/>
      <c r="PEF1" s="293"/>
      <c r="PEG1" s="293"/>
      <c r="PEH1" s="293"/>
      <c r="PEI1" s="293"/>
      <c r="PEJ1" s="293"/>
      <c r="PEK1" s="293"/>
      <c r="PEL1" s="293"/>
      <c r="PEM1" s="293"/>
      <c r="PEN1" s="293"/>
      <c r="PEO1" s="293"/>
      <c r="PEP1" s="293"/>
      <c r="PEQ1" s="293"/>
      <c r="PER1" s="293"/>
      <c r="PES1" s="293"/>
      <c r="PET1" s="293"/>
      <c r="PEU1" s="293"/>
      <c r="PEV1" s="293"/>
      <c r="PEW1" s="293"/>
      <c r="PEX1" s="293"/>
      <c r="PEY1" s="293"/>
      <c r="PEZ1" s="293"/>
      <c r="PFA1" s="293"/>
      <c r="PFB1" s="293"/>
      <c r="PFC1" s="293"/>
      <c r="PFD1" s="293"/>
      <c r="PFE1" s="293"/>
      <c r="PFF1" s="293"/>
      <c r="PFG1" s="293"/>
      <c r="PFH1" s="293"/>
      <c r="PFI1" s="293"/>
      <c r="PFJ1" s="293"/>
      <c r="PFK1" s="293"/>
      <c r="PFL1" s="293"/>
      <c r="PFM1" s="293"/>
      <c r="PFN1" s="293"/>
      <c r="PFO1" s="293"/>
      <c r="PFP1" s="293"/>
      <c r="PFQ1" s="293"/>
      <c r="PFR1" s="293"/>
      <c r="PFS1" s="293"/>
      <c r="PFT1" s="293"/>
      <c r="PFU1" s="293"/>
      <c r="PFV1" s="293"/>
      <c r="PFW1" s="293"/>
      <c r="PFX1" s="293"/>
      <c r="PFY1" s="293"/>
      <c r="PFZ1" s="293"/>
      <c r="PGA1" s="293"/>
      <c r="PGB1" s="293"/>
      <c r="PGC1" s="293"/>
      <c r="PGD1" s="293"/>
      <c r="PGE1" s="293"/>
      <c r="PGF1" s="293"/>
      <c r="PGG1" s="293"/>
      <c r="PGH1" s="293"/>
      <c r="PGI1" s="293"/>
      <c r="PGJ1" s="293"/>
      <c r="PGK1" s="293"/>
      <c r="PGL1" s="293"/>
      <c r="PGM1" s="293"/>
      <c r="PGN1" s="293"/>
      <c r="PGO1" s="293"/>
      <c r="PGP1" s="293"/>
      <c r="PGQ1" s="293"/>
      <c r="PGR1" s="293"/>
      <c r="PGS1" s="293"/>
      <c r="PGT1" s="293"/>
      <c r="PGU1" s="293"/>
      <c r="PGV1" s="293"/>
      <c r="PGW1" s="293"/>
      <c r="PGX1" s="293"/>
      <c r="PGY1" s="293"/>
      <c r="PGZ1" s="293"/>
      <c r="PHA1" s="293"/>
      <c r="PHB1" s="293"/>
      <c r="PHC1" s="293"/>
      <c r="PHD1" s="293"/>
      <c r="PHE1" s="293"/>
      <c r="PHF1" s="293"/>
      <c r="PHG1" s="293"/>
      <c r="PHH1" s="293"/>
      <c r="PHI1" s="293"/>
      <c r="PHJ1" s="293"/>
      <c r="PHK1" s="293"/>
      <c r="PHL1" s="293"/>
      <c r="PHM1" s="293"/>
      <c r="PHN1" s="293"/>
      <c r="PHO1" s="293"/>
      <c r="PHP1" s="293"/>
      <c r="PHQ1" s="293"/>
      <c r="PHR1" s="293"/>
      <c r="PHS1" s="293"/>
      <c r="PHT1" s="293"/>
      <c r="PHU1" s="293"/>
      <c r="PHV1" s="293"/>
      <c r="PHW1" s="293"/>
      <c r="PHX1" s="293"/>
      <c r="PHY1" s="293"/>
      <c r="PHZ1" s="293"/>
      <c r="PIA1" s="293"/>
      <c r="PIB1" s="293"/>
      <c r="PIC1" s="293"/>
      <c r="PID1" s="293"/>
      <c r="PIE1" s="293"/>
      <c r="PIF1" s="293"/>
      <c r="PIG1" s="293"/>
      <c r="PIH1" s="293"/>
      <c r="PII1" s="293"/>
      <c r="PIJ1" s="293"/>
      <c r="PIK1" s="293"/>
      <c r="PIL1" s="293"/>
      <c r="PIM1" s="293"/>
      <c r="PIN1" s="293"/>
      <c r="PIO1" s="293"/>
      <c r="PIP1" s="293"/>
      <c r="PIQ1" s="293"/>
      <c r="PIR1" s="293"/>
      <c r="PIS1" s="293"/>
      <c r="PIT1" s="293"/>
      <c r="PIU1" s="293"/>
      <c r="PIV1" s="293"/>
      <c r="PIW1" s="293"/>
      <c r="PIX1" s="293"/>
      <c r="PIY1" s="293"/>
      <c r="PIZ1" s="293"/>
      <c r="PJA1" s="293"/>
      <c r="PJB1" s="293"/>
      <c r="PJC1" s="293"/>
      <c r="PJD1" s="293"/>
      <c r="PJE1" s="293"/>
      <c r="PJF1" s="293"/>
      <c r="PJG1" s="293"/>
      <c r="PJH1" s="293"/>
      <c r="PJI1" s="293"/>
      <c r="PJJ1" s="293"/>
      <c r="PJK1" s="293"/>
      <c r="PJL1" s="293"/>
      <c r="PJM1" s="293"/>
      <c r="PJN1" s="293"/>
      <c r="PJO1" s="293"/>
      <c r="PJP1" s="293"/>
      <c r="PJQ1" s="293"/>
      <c r="PJR1" s="293"/>
      <c r="PJS1" s="293"/>
      <c r="PJT1" s="293"/>
      <c r="PJU1" s="293"/>
      <c r="PJV1" s="293"/>
      <c r="PJW1" s="293"/>
      <c r="PJX1" s="293"/>
      <c r="PJY1" s="293"/>
      <c r="PJZ1" s="293"/>
      <c r="PKA1" s="293"/>
      <c r="PKB1" s="293"/>
      <c r="PKC1" s="293"/>
      <c r="PKD1" s="293"/>
      <c r="PKE1" s="293"/>
      <c r="PKF1" s="293"/>
      <c r="PKG1" s="293"/>
      <c r="PKH1" s="293"/>
      <c r="PKI1" s="293"/>
      <c r="PKJ1" s="293"/>
      <c r="PKK1" s="293"/>
      <c r="PKL1" s="293"/>
      <c r="PKM1" s="293"/>
      <c r="PKN1" s="293"/>
      <c r="PKO1" s="293"/>
      <c r="PKP1" s="293"/>
      <c r="PKQ1" s="293"/>
      <c r="PKR1" s="293"/>
      <c r="PKS1" s="293"/>
      <c r="PKT1" s="293"/>
      <c r="PKU1" s="293"/>
      <c r="PKV1" s="293"/>
      <c r="PKW1" s="293"/>
      <c r="PKX1" s="293"/>
      <c r="PKY1" s="293"/>
      <c r="PKZ1" s="293"/>
      <c r="PLA1" s="293"/>
      <c r="PLB1" s="293"/>
      <c r="PLC1" s="293"/>
      <c r="PLD1" s="293"/>
      <c r="PLE1" s="293"/>
      <c r="PLF1" s="293"/>
      <c r="PLG1" s="293"/>
      <c r="PLH1" s="293"/>
      <c r="PLI1" s="293"/>
      <c r="PLJ1" s="293"/>
      <c r="PLK1" s="293"/>
      <c r="PLL1" s="293"/>
      <c r="PLM1" s="293"/>
      <c r="PLN1" s="293"/>
      <c r="PLO1" s="293"/>
      <c r="PLP1" s="293"/>
      <c r="PLQ1" s="293"/>
      <c r="PLR1" s="293"/>
      <c r="PLS1" s="293"/>
      <c r="PLT1" s="293"/>
      <c r="PLU1" s="293"/>
      <c r="PLV1" s="293"/>
      <c r="PLW1" s="293"/>
      <c r="PLX1" s="293"/>
      <c r="PLY1" s="293"/>
      <c r="PLZ1" s="293"/>
      <c r="PMA1" s="293"/>
      <c r="PMB1" s="293"/>
      <c r="PMC1" s="293"/>
      <c r="PMD1" s="293"/>
      <c r="PME1" s="293"/>
      <c r="PMF1" s="293"/>
      <c r="PMG1" s="293"/>
      <c r="PMH1" s="293"/>
      <c r="PMI1" s="293"/>
      <c r="PMJ1" s="293"/>
      <c r="PMK1" s="293"/>
      <c r="PML1" s="293"/>
      <c r="PMM1" s="293"/>
      <c r="PMN1" s="293"/>
      <c r="PMO1" s="293"/>
      <c r="PMP1" s="293"/>
      <c r="PMQ1" s="293"/>
      <c r="PMR1" s="293"/>
      <c r="PMS1" s="293"/>
      <c r="PMT1" s="293"/>
      <c r="PMU1" s="293"/>
      <c r="PMV1" s="293"/>
      <c r="PMW1" s="293"/>
      <c r="PMX1" s="293"/>
      <c r="PMY1" s="293"/>
      <c r="PMZ1" s="293"/>
      <c r="PNA1" s="293"/>
      <c r="PNB1" s="293"/>
      <c r="PNC1" s="293"/>
      <c r="PND1" s="293"/>
      <c r="PNE1" s="293"/>
      <c r="PNF1" s="293"/>
      <c r="PNG1" s="293"/>
      <c r="PNH1" s="293"/>
      <c r="PNI1" s="293"/>
      <c r="PNJ1" s="293"/>
      <c r="PNK1" s="293"/>
      <c r="PNL1" s="293"/>
      <c r="PNM1" s="293"/>
      <c r="PNN1" s="293"/>
      <c r="PNO1" s="293"/>
      <c r="PNP1" s="293"/>
      <c r="PNQ1" s="293"/>
      <c r="PNR1" s="293"/>
      <c r="PNS1" s="293"/>
      <c r="PNT1" s="293"/>
      <c r="PNU1" s="293"/>
      <c r="PNV1" s="293"/>
      <c r="PNW1" s="293"/>
      <c r="PNX1" s="293"/>
      <c r="PNY1" s="293"/>
      <c r="PNZ1" s="293"/>
      <c r="POA1" s="293"/>
      <c r="POB1" s="293"/>
      <c r="POC1" s="293"/>
      <c r="POD1" s="293"/>
      <c r="POE1" s="293"/>
      <c r="POF1" s="293"/>
      <c r="POG1" s="293"/>
      <c r="POH1" s="293"/>
      <c r="POI1" s="293"/>
      <c r="POJ1" s="293"/>
      <c r="POK1" s="293"/>
      <c r="POL1" s="293"/>
      <c r="POM1" s="293"/>
      <c r="PON1" s="293"/>
      <c r="POO1" s="293"/>
      <c r="POP1" s="293"/>
      <c r="POQ1" s="293"/>
      <c r="POR1" s="293"/>
      <c r="POS1" s="293"/>
      <c r="POT1" s="293"/>
      <c r="POU1" s="293"/>
      <c r="POV1" s="293"/>
      <c r="POW1" s="293"/>
      <c r="POX1" s="293"/>
      <c r="POY1" s="293"/>
      <c r="POZ1" s="293"/>
      <c r="PPA1" s="293"/>
      <c r="PPB1" s="293"/>
      <c r="PPC1" s="293"/>
      <c r="PPD1" s="293"/>
      <c r="PPE1" s="293"/>
      <c r="PPF1" s="293"/>
      <c r="PPG1" s="293"/>
      <c r="PPH1" s="293"/>
      <c r="PPI1" s="293"/>
      <c r="PPJ1" s="293"/>
      <c r="PPK1" s="293"/>
      <c r="PPL1" s="293"/>
      <c r="PPM1" s="293"/>
      <c r="PPN1" s="293"/>
      <c r="PPO1" s="293"/>
      <c r="PPP1" s="293"/>
      <c r="PPQ1" s="293"/>
      <c r="PPR1" s="293"/>
      <c r="PPS1" s="293"/>
      <c r="PPT1" s="293"/>
      <c r="PPU1" s="293"/>
      <c r="PPV1" s="293"/>
      <c r="PPW1" s="293"/>
      <c r="PPX1" s="293"/>
      <c r="PPY1" s="293"/>
      <c r="PPZ1" s="293"/>
      <c r="PQA1" s="293"/>
      <c r="PQB1" s="293"/>
      <c r="PQC1" s="293"/>
      <c r="PQD1" s="293"/>
      <c r="PQE1" s="293"/>
      <c r="PQF1" s="293"/>
      <c r="PQG1" s="293"/>
      <c r="PQH1" s="293"/>
      <c r="PQI1" s="293"/>
      <c r="PQJ1" s="293"/>
      <c r="PQK1" s="293"/>
      <c r="PQL1" s="293"/>
      <c r="PQM1" s="293"/>
      <c r="PQN1" s="293"/>
      <c r="PQO1" s="293"/>
      <c r="PQP1" s="293"/>
      <c r="PQQ1" s="293"/>
      <c r="PQR1" s="293"/>
      <c r="PQS1" s="293"/>
      <c r="PQT1" s="293"/>
      <c r="PQU1" s="293"/>
      <c r="PQV1" s="293"/>
      <c r="PQW1" s="293"/>
      <c r="PQX1" s="293"/>
      <c r="PQY1" s="293"/>
      <c r="PQZ1" s="293"/>
      <c r="PRA1" s="293"/>
      <c r="PRB1" s="293"/>
      <c r="PRC1" s="293"/>
      <c r="PRD1" s="293"/>
      <c r="PRE1" s="293"/>
      <c r="PRF1" s="293"/>
      <c r="PRG1" s="293"/>
      <c r="PRH1" s="293"/>
      <c r="PRI1" s="293"/>
      <c r="PRJ1" s="293"/>
      <c r="PRK1" s="293"/>
      <c r="PRL1" s="293"/>
      <c r="PRM1" s="293"/>
      <c r="PRN1" s="293"/>
      <c r="PRO1" s="293"/>
      <c r="PRP1" s="293"/>
      <c r="PRQ1" s="293"/>
      <c r="PRR1" s="293"/>
      <c r="PRS1" s="293"/>
      <c r="PRT1" s="293"/>
      <c r="PRU1" s="293"/>
      <c r="PRV1" s="293"/>
      <c r="PRW1" s="293"/>
      <c r="PRX1" s="293"/>
      <c r="PRY1" s="293"/>
      <c r="PRZ1" s="293"/>
      <c r="PSA1" s="293"/>
      <c r="PSB1" s="293"/>
      <c r="PSC1" s="293"/>
      <c r="PSD1" s="293"/>
      <c r="PSE1" s="293"/>
      <c r="PSF1" s="293"/>
      <c r="PSG1" s="293"/>
      <c r="PSH1" s="293"/>
      <c r="PSI1" s="293"/>
      <c r="PSJ1" s="293"/>
      <c r="PSK1" s="293"/>
      <c r="PSL1" s="293"/>
      <c r="PSM1" s="293"/>
      <c r="PSN1" s="293"/>
      <c r="PSO1" s="293"/>
      <c r="PSP1" s="293"/>
      <c r="PSQ1" s="293"/>
      <c r="PSR1" s="293"/>
      <c r="PSS1" s="293"/>
      <c r="PST1" s="293"/>
      <c r="PSU1" s="293"/>
      <c r="PSV1" s="293"/>
      <c r="PSW1" s="293"/>
      <c r="PSX1" s="293"/>
      <c r="PSY1" s="293"/>
      <c r="PSZ1" s="293"/>
      <c r="PTA1" s="293"/>
      <c r="PTB1" s="293"/>
      <c r="PTC1" s="293"/>
      <c r="PTD1" s="293"/>
      <c r="PTE1" s="293"/>
      <c r="PTF1" s="293"/>
      <c r="PTG1" s="293"/>
      <c r="PTH1" s="293"/>
      <c r="PTI1" s="293"/>
      <c r="PTJ1" s="293"/>
      <c r="PTK1" s="293"/>
      <c r="PTL1" s="293"/>
      <c r="PTM1" s="293"/>
      <c r="PTN1" s="293"/>
      <c r="PTO1" s="293"/>
      <c r="PTP1" s="293"/>
      <c r="PTQ1" s="293"/>
      <c r="PTR1" s="293"/>
      <c r="PTS1" s="293"/>
      <c r="PTT1" s="293"/>
      <c r="PTU1" s="293"/>
      <c r="PTV1" s="293"/>
      <c r="PTW1" s="293"/>
      <c r="PTX1" s="293"/>
      <c r="PTY1" s="293"/>
      <c r="PTZ1" s="293"/>
      <c r="PUA1" s="293"/>
      <c r="PUB1" s="293"/>
      <c r="PUC1" s="293"/>
      <c r="PUD1" s="293"/>
      <c r="PUE1" s="293"/>
      <c r="PUF1" s="293"/>
      <c r="PUG1" s="293"/>
      <c r="PUH1" s="293"/>
      <c r="PUI1" s="293"/>
      <c r="PUJ1" s="293"/>
      <c r="PUK1" s="293"/>
      <c r="PUL1" s="293"/>
      <c r="PUM1" s="293"/>
      <c r="PUN1" s="293"/>
      <c r="PUO1" s="293"/>
      <c r="PUP1" s="293"/>
      <c r="PUQ1" s="293"/>
      <c r="PUR1" s="293"/>
      <c r="PUS1" s="293"/>
      <c r="PUT1" s="293"/>
      <c r="PUU1" s="293"/>
      <c r="PUV1" s="293"/>
      <c r="PUW1" s="293"/>
      <c r="PUX1" s="293"/>
      <c r="PUY1" s="293"/>
      <c r="PUZ1" s="293"/>
      <c r="PVA1" s="293"/>
      <c r="PVB1" s="293"/>
      <c r="PVC1" s="293"/>
      <c r="PVD1" s="293"/>
      <c r="PVE1" s="293"/>
      <c r="PVF1" s="293"/>
      <c r="PVG1" s="293"/>
      <c r="PVH1" s="293"/>
      <c r="PVI1" s="293"/>
      <c r="PVJ1" s="293"/>
      <c r="PVK1" s="293"/>
      <c r="PVL1" s="293"/>
      <c r="PVM1" s="293"/>
      <c r="PVN1" s="293"/>
      <c r="PVO1" s="293"/>
      <c r="PVP1" s="293"/>
      <c r="PVQ1" s="293"/>
      <c r="PVR1" s="293"/>
      <c r="PVS1" s="293"/>
      <c r="PVT1" s="293"/>
      <c r="PVU1" s="293"/>
      <c r="PVV1" s="293"/>
      <c r="PVW1" s="293"/>
      <c r="PVX1" s="293"/>
      <c r="PVY1" s="293"/>
      <c r="PVZ1" s="293"/>
      <c r="PWA1" s="293"/>
      <c r="PWB1" s="293"/>
      <c r="PWC1" s="293"/>
      <c r="PWD1" s="293"/>
      <c r="PWE1" s="293"/>
      <c r="PWF1" s="293"/>
      <c r="PWG1" s="293"/>
      <c r="PWH1" s="293"/>
      <c r="PWI1" s="293"/>
      <c r="PWJ1" s="293"/>
      <c r="PWK1" s="293"/>
      <c r="PWL1" s="293"/>
      <c r="PWM1" s="293"/>
      <c r="PWN1" s="293"/>
      <c r="PWO1" s="293"/>
      <c r="PWP1" s="293"/>
      <c r="PWQ1" s="293"/>
      <c r="PWR1" s="293"/>
      <c r="PWS1" s="293"/>
      <c r="PWT1" s="293"/>
      <c r="PWU1" s="293"/>
      <c r="PWV1" s="293"/>
      <c r="PWW1" s="293"/>
      <c r="PWX1" s="293"/>
      <c r="PWY1" s="293"/>
      <c r="PWZ1" s="293"/>
      <c r="PXA1" s="293"/>
      <c r="PXB1" s="293"/>
      <c r="PXC1" s="293"/>
      <c r="PXD1" s="293"/>
      <c r="PXE1" s="293"/>
      <c r="PXF1" s="293"/>
      <c r="PXG1" s="293"/>
      <c r="PXH1" s="293"/>
      <c r="PXI1" s="293"/>
      <c r="PXJ1" s="293"/>
      <c r="PXK1" s="293"/>
      <c r="PXL1" s="293"/>
      <c r="PXM1" s="293"/>
      <c r="PXN1" s="293"/>
      <c r="PXO1" s="293"/>
      <c r="PXP1" s="293"/>
      <c r="PXQ1" s="293"/>
      <c r="PXR1" s="293"/>
      <c r="PXS1" s="293"/>
      <c r="PXT1" s="293"/>
      <c r="PXU1" s="293"/>
      <c r="PXV1" s="293"/>
      <c r="PXW1" s="293"/>
      <c r="PXX1" s="293"/>
      <c r="PXY1" s="293"/>
      <c r="PXZ1" s="293"/>
      <c r="PYA1" s="293"/>
      <c r="PYB1" s="293"/>
      <c r="PYC1" s="293"/>
      <c r="PYD1" s="293"/>
      <c r="PYE1" s="293"/>
      <c r="PYF1" s="293"/>
      <c r="PYG1" s="293"/>
      <c r="PYH1" s="293"/>
      <c r="PYI1" s="293"/>
      <c r="PYJ1" s="293"/>
      <c r="PYK1" s="293"/>
      <c r="PYL1" s="293"/>
      <c r="PYM1" s="293"/>
      <c r="PYN1" s="293"/>
      <c r="PYO1" s="293"/>
      <c r="PYP1" s="293"/>
      <c r="PYQ1" s="293"/>
      <c r="PYR1" s="293"/>
      <c r="PYS1" s="293"/>
      <c r="PYT1" s="293"/>
      <c r="PYU1" s="293"/>
      <c r="PYV1" s="293"/>
      <c r="PYW1" s="293"/>
      <c r="PYX1" s="293"/>
      <c r="PYY1" s="293"/>
      <c r="PYZ1" s="293"/>
      <c r="PZA1" s="293"/>
      <c r="PZB1" s="293"/>
      <c r="PZC1" s="293"/>
      <c r="PZD1" s="293"/>
      <c r="PZE1" s="293"/>
      <c r="PZF1" s="293"/>
      <c r="PZG1" s="293"/>
      <c r="PZH1" s="293"/>
      <c r="PZI1" s="293"/>
      <c r="PZJ1" s="293"/>
      <c r="PZK1" s="293"/>
      <c r="PZL1" s="293"/>
      <c r="PZM1" s="293"/>
      <c r="PZN1" s="293"/>
      <c r="PZO1" s="293"/>
      <c r="PZP1" s="293"/>
      <c r="PZQ1" s="293"/>
      <c r="PZR1" s="293"/>
      <c r="PZS1" s="293"/>
      <c r="PZT1" s="293"/>
      <c r="PZU1" s="293"/>
      <c r="PZV1" s="293"/>
      <c r="PZW1" s="293"/>
      <c r="PZX1" s="293"/>
      <c r="PZY1" s="293"/>
      <c r="PZZ1" s="293"/>
      <c r="QAA1" s="293"/>
      <c r="QAB1" s="293"/>
      <c r="QAC1" s="293"/>
      <c r="QAD1" s="293"/>
      <c r="QAE1" s="293"/>
      <c r="QAF1" s="293"/>
      <c r="QAG1" s="293"/>
      <c r="QAH1" s="293"/>
      <c r="QAI1" s="293"/>
      <c r="QAJ1" s="293"/>
      <c r="QAK1" s="293"/>
      <c r="QAL1" s="293"/>
      <c r="QAM1" s="293"/>
      <c r="QAN1" s="293"/>
      <c r="QAO1" s="293"/>
      <c r="QAP1" s="293"/>
      <c r="QAQ1" s="293"/>
      <c r="QAR1" s="293"/>
      <c r="QAS1" s="293"/>
      <c r="QAT1" s="293"/>
      <c r="QAU1" s="293"/>
      <c r="QAV1" s="293"/>
      <c r="QAW1" s="293"/>
      <c r="QAX1" s="293"/>
      <c r="QAY1" s="293"/>
      <c r="QAZ1" s="293"/>
      <c r="QBA1" s="293"/>
      <c r="QBB1" s="293"/>
      <c r="QBC1" s="293"/>
      <c r="QBD1" s="293"/>
      <c r="QBE1" s="293"/>
      <c r="QBF1" s="293"/>
      <c r="QBG1" s="293"/>
      <c r="QBH1" s="293"/>
      <c r="QBI1" s="293"/>
      <c r="QBJ1" s="293"/>
      <c r="QBK1" s="293"/>
      <c r="QBL1" s="293"/>
      <c r="QBM1" s="293"/>
      <c r="QBN1" s="293"/>
      <c r="QBO1" s="293"/>
      <c r="QBP1" s="293"/>
      <c r="QBQ1" s="293"/>
      <c r="QBR1" s="293"/>
      <c r="QBS1" s="293"/>
      <c r="QBT1" s="293"/>
      <c r="QBU1" s="293"/>
      <c r="QBV1" s="293"/>
      <c r="QBW1" s="293"/>
      <c r="QBX1" s="293"/>
      <c r="QBY1" s="293"/>
      <c r="QBZ1" s="293"/>
      <c r="QCA1" s="293"/>
      <c r="QCB1" s="293"/>
      <c r="QCC1" s="293"/>
      <c r="QCD1" s="293"/>
      <c r="QCE1" s="293"/>
      <c r="QCF1" s="293"/>
      <c r="QCG1" s="293"/>
      <c r="QCH1" s="293"/>
      <c r="QCI1" s="293"/>
      <c r="QCJ1" s="293"/>
      <c r="QCK1" s="293"/>
      <c r="QCL1" s="293"/>
      <c r="QCM1" s="293"/>
      <c r="QCN1" s="293"/>
      <c r="QCO1" s="293"/>
      <c r="QCP1" s="293"/>
      <c r="QCQ1" s="293"/>
      <c r="QCR1" s="293"/>
      <c r="QCS1" s="293"/>
      <c r="QCT1" s="293"/>
      <c r="QCU1" s="293"/>
      <c r="QCV1" s="293"/>
      <c r="QCW1" s="293"/>
      <c r="QCX1" s="293"/>
      <c r="QCY1" s="293"/>
      <c r="QCZ1" s="293"/>
      <c r="QDA1" s="293"/>
      <c r="QDB1" s="293"/>
      <c r="QDC1" s="293"/>
      <c r="QDD1" s="293"/>
      <c r="QDE1" s="293"/>
      <c r="QDF1" s="293"/>
      <c r="QDG1" s="293"/>
      <c r="QDH1" s="293"/>
      <c r="QDI1" s="293"/>
      <c r="QDJ1" s="293"/>
      <c r="QDK1" s="293"/>
      <c r="QDL1" s="293"/>
      <c r="QDM1" s="293"/>
      <c r="QDN1" s="293"/>
      <c r="QDO1" s="293"/>
      <c r="QDP1" s="293"/>
      <c r="QDQ1" s="293"/>
      <c r="QDR1" s="293"/>
      <c r="QDS1" s="293"/>
      <c r="QDT1" s="293"/>
      <c r="QDU1" s="293"/>
      <c r="QDV1" s="293"/>
      <c r="QDW1" s="293"/>
      <c r="QDX1" s="293"/>
      <c r="QDY1" s="293"/>
      <c r="QDZ1" s="293"/>
      <c r="QEA1" s="293"/>
      <c r="QEB1" s="293"/>
      <c r="QEC1" s="293"/>
      <c r="QED1" s="293"/>
      <c r="QEE1" s="293"/>
      <c r="QEF1" s="293"/>
      <c r="QEG1" s="293"/>
      <c r="QEH1" s="293"/>
      <c r="QEI1" s="293"/>
      <c r="QEJ1" s="293"/>
      <c r="QEK1" s="293"/>
      <c r="QEL1" s="293"/>
      <c r="QEM1" s="293"/>
      <c r="QEN1" s="293"/>
      <c r="QEO1" s="293"/>
      <c r="QEP1" s="293"/>
      <c r="QEQ1" s="293"/>
      <c r="QER1" s="293"/>
      <c r="QES1" s="293"/>
      <c r="QET1" s="293"/>
      <c r="QEU1" s="293"/>
      <c r="QEV1" s="293"/>
      <c r="QEW1" s="293"/>
      <c r="QEX1" s="293"/>
      <c r="QEY1" s="293"/>
      <c r="QEZ1" s="293"/>
      <c r="QFA1" s="293"/>
      <c r="QFB1" s="293"/>
      <c r="QFC1" s="293"/>
      <c r="QFD1" s="293"/>
      <c r="QFE1" s="293"/>
      <c r="QFF1" s="293"/>
      <c r="QFG1" s="293"/>
      <c r="QFH1" s="293"/>
      <c r="QFI1" s="293"/>
      <c r="QFJ1" s="293"/>
      <c r="QFK1" s="293"/>
      <c r="QFL1" s="293"/>
      <c r="QFM1" s="293"/>
      <c r="QFN1" s="293"/>
      <c r="QFO1" s="293"/>
      <c r="QFP1" s="293"/>
      <c r="QFQ1" s="293"/>
      <c r="QFR1" s="293"/>
      <c r="QFS1" s="293"/>
      <c r="QFT1" s="293"/>
      <c r="QFU1" s="293"/>
      <c r="QFV1" s="293"/>
      <c r="QFW1" s="293"/>
      <c r="QFX1" s="293"/>
      <c r="QFY1" s="293"/>
      <c r="QFZ1" s="293"/>
      <c r="QGA1" s="293"/>
      <c r="QGB1" s="293"/>
      <c r="QGC1" s="293"/>
      <c r="QGD1" s="293"/>
      <c r="QGE1" s="293"/>
      <c r="QGF1" s="293"/>
      <c r="QGG1" s="293"/>
      <c r="QGH1" s="293"/>
      <c r="QGI1" s="293"/>
      <c r="QGJ1" s="293"/>
      <c r="QGK1" s="293"/>
      <c r="QGL1" s="293"/>
      <c r="QGM1" s="293"/>
      <c r="QGN1" s="293"/>
      <c r="QGO1" s="293"/>
      <c r="QGP1" s="293"/>
      <c r="QGQ1" s="293"/>
      <c r="QGR1" s="293"/>
      <c r="QGS1" s="293"/>
      <c r="QGT1" s="293"/>
      <c r="QGU1" s="293"/>
      <c r="QGV1" s="293"/>
      <c r="QGW1" s="293"/>
      <c r="QGX1" s="293"/>
      <c r="QGY1" s="293"/>
      <c r="QGZ1" s="293"/>
      <c r="QHA1" s="293"/>
      <c r="QHB1" s="293"/>
      <c r="QHC1" s="293"/>
      <c r="QHD1" s="293"/>
      <c r="QHE1" s="293"/>
      <c r="QHF1" s="293"/>
      <c r="QHG1" s="293"/>
      <c r="QHH1" s="293"/>
      <c r="QHI1" s="293"/>
      <c r="QHJ1" s="293"/>
      <c r="QHK1" s="293"/>
      <c r="QHL1" s="293"/>
      <c r="QHM1" s="293"/>
      <c r="QHN1" s="293"/>
      <c r="QHO1" s="293"/>
      <c r="QHP1" s="293"/>
      <c r="QHQ1" s="293"/>
      <c r="QHR1" s="293"/>
      <c r="QHS1" s="293"/>
      <c r="QHT1" s="293"/>
      <c r="QHU1" s="293"/>
      <c r="QHV1" s="293"/>
      <c r="QHW1" s="293"/>
      <c r="QHX1" s="293"/>
      <c r="QHY1" s="293"/>
      <c r="QHZ1" s="293"/>
      <c r="QIA1" s="293"/>
      <c r="QIB1" s="293"/>
      <c r="QIC1" s="293"/>
      <c r="QID1" s="293"/>
      <c r="QIE1" s="293"/>
      <c r="QIF1" s="293"/>
      <c r="QIG1" s="293"/>
      <c r="QIH1" s="293"/>
      <c r="QII1" s="293"/>
      <c r="QIJ1" s="293"/>
      <c r="QIK1" s="293"/>
      <c r="QIL1" s="293"/>
      <c r="QIM1" s="293"/>
      <c r="QIN1" s="293"/>
      <c r="QIO1" s="293"/>
      <c r="QIP1" s="293"/>
      <c r="QIQ1" s="293"/>
      <c r="QIR1" s="293"/>
      <c r="QIS1" s="293"/>
      <c r="QIT1" s="293"/>
      <c r="QIU1" s="293"/>
      <c r="QIV1" s="293"/>
      <c r="QIW1" s="293"/>
      <c r="QIX1" s="293"/>
      <c r="QIY1" s="293"/>
      <c r="QIZ1" s="293"/>
      <c r="QJA1" s="293"/>
      <c r="QJB1" s="293"/>
      <c r="QJC1" s="293"/>
      <c r="QJD1" s="293"/>
      <c r="QJE1" s="293"/>
      <c r="QJF1" s="293"/>
      <c r="QJG1" s="293"/>
      <c r="QJH1" s="293"/>
      <c r="QJI1" s="293"/>
      <c r="QJJ1" s="293"/>
      <c r="QJK1" s="293"/>
      <c r="QJL1" s="293"/>
      <c r="QJM1" s="293"/>
      <c r="QJN1" s="293"/>
      <c r="QJO1" s="293"/>
      <c r="QJP1" s="293"/>
      <c r="QJQ1" s="293"/>
      <c r="QJR1" s="293"/>
      <c r="QJS1" s="293"/>
      <c r="QJT1" s="293"/>
      <c r="QJU1" s="293"/>
      <c r="QJV1" s="293"/>
      <c r="QJW1" s="293"/>
      <c r="QJX1" s="293"/>
      <c r="QJY1" s="293"/>
      <c r="QJZ1" s="293"/>
      <c r="QKA1" s="293"/>
      <c r="QKB1" s="293"/>
      <c r="QKC1" s="293"/>
      <c r="QKD1" s="293"/>
      <c r="QKE1" s="293"/>
      <c r="QKF1" s="293"/>
      <c r="QKG1" s="293"/>
      <c r="QKH1" s="293"/>
      <c r="QKI1" s="293"/>
      <c r="QKJ1" s="293"/>
      <c r="QKK1" s="293"/>
      <c r="QKL1" s="293"/>
      <c r="QKM1" s="293"/>
      <c r="QKN1" s="293"/>
      <c r="QKO1" s="293"/>
      <c r="QKP1" s="293"/>
      <c r="QKQ1" s="293"/>
      <c r="QKR1" s="293"/>
      <c r="QKS1" s="293"/>
      <c r="QKT1" s="293"/>
      <c r="QKU1" s="293"/>
      <c r="QKV1" s="293"/>
      <c r="QKW1" s="293"/>
      <c r="QKX1" s="293"/>
      <c r="QKY1" s="293"/>
      <c r="QKZ1" s="293"/>
      <c r="QLA1" s="293"/>
      <c r="QLB1" s="293"/>
      <c r="QLC1" s="293"/>
      <c r="QLD1" s="293"/>
      <c r="QLE1" s="293"/>
      <c r="QLF1" s="293"/>
      <c r="QLG1" s="293"/>
      <c r="QLH1" s="293"/>
      <c r="QLI1" s="293"/>
      <c r="QLJ1" s="293"/>
      <c r="QLK1" s="293"/>
      <c r="QLL1" s="293"/>
      <c r="QLM1" s="293"/>
      <c r="QLN1" s="293"/>
      <c r="QLO1" s="293"/>
      <c r="QLP1" s="293"/>
      <c r="QLQ1" s="293"/>
      <c r="QLR1" s="293"/>
      <c r="QLS1" s="293"/>
      <c r="QLT1" s="293"/>
      <c r="QLU1" s="293"/>
      <c r="QLV1" s="293"/>
      <c r="QLW1" s="293"/>
      <c r="QLX1" s="293"/>
      <c r="QLY1" s="293"/>
      <c r="QLZ1" s="293"/>
      <c r="QMA1" s="293"/>
      <c r="QMB1" s="293"/>
      <c r="QMC1" s="293"/>
      <c r="QMD1" s="293"/>
      <c r="QME1" s="293"/>
      <c r="QMF1" s="293"/>
      <c r="QMG1" s="293"/>
      <c r="QMH1" s="293"/>
      <c r="QMI1" s="293"/>
      <c r="QMJ1" s="293"/>
      <c r="QMK1" s="293"/>
      <c r="QML1" s="293"/>
      <c r="QMM1" s="293"/>
      <c r="QMN1" s="293"/>
      <c r="QMO1" s="293"/>
      <c r="QMP1" s="293"/>
      <c r="QMQ1" s="293"/>
      <c r="QMR1" s="293"/>
      <c r="QMS1" s="293"/>
      <c r="QMT1" s="293"/>
      <c r="QMU1" s="293"/>
      <c r="QMV1" s="293"/>
      <c r="QMW1" s="293"/>
      <c r="QMX1" s="293"/>
      <c r="QMY1" s="293"/>
      <c r="QMZ1" s="293"/>
      <c r="QNA1" s="293"/>
      <c r="QNB1" s="293"/>
      <c r="QNC1" s="293"/>
      <c r="QND1" s="293"/>
      <c r="QNE1" s="293"/>
      <c r="QNF1" s="293"/>
      <c r="QNG1" s="293"/>
      <c r="QNH1" s="293"/>
      <c r="QNI1" s="293"/>
      <c r="QNJ1" s="293"/>
      <c r="QNK1" s="293"/>
      <c r="QNL1" s="293"/>
      <c r="QNM1" s="293"/>
      <c r="QNN1" s="293"/>
      <c r="QNO1" s="293"/>
      <c r="QNP1" s="293"/>
      <c r="QNQ1" s="293"/>
      <c r="QNR1" s="293"/>
      <c r="QNS1" s="293"/>
      <c r="QNT1" s="293"/>
      <c r="QNU1" s="293"/>
      <c r="QNV1" s="293"/>
      <c r="QNW1" s="293"/>
      <c r="QNX1" s="293"/>
      <c r="QNY1" s="293"/>
      <c r="QNZ1" s="293"/>
      <c r="QOA1" s="293"/>
      <c r="QOB1" s="293"/>
      <c r="QOC1" s="293"/>
      <c r="QOD1" s="293"/>
      <c r="QOE1" s="293"/>
      <c r="QOF1" s="293"/>
      <c r="QOG1" s="293"/>
      <c r="QOH1" s="293"/>
      <c r="QOI1" s="293"/>
      <c r="QOJ1" s="293"/>
      <c r="QOK1" s="293"/>
      <c r="QOL1" s="293"/>
      <c r="QOM1" s="293"/>
      <c r="QON1" s="293"/>
      <c r="QOO1" s="293"/>
      <c r="QOP1" s="293"/>
      <c r="QOQ1" s="293"/>
      <c r="QOR1" s="293"/>
      <c r="QOS1" s="293"/>
      <c r="QOT1" s="293"/>
      <c r="QOU1" s="293"/>
      <c r="QOV1" s="293"/>
      <c r="QOW1" s="293"/>
      <c r="QOX1" s="293"/>
      <c r="QOY1" s="293"/>
      <c r="QOZ1" s="293"/>
      <c r="QPA1" s="293"/>
      <c r="QPB1" s="293"/>
      <c r="QPC1" s="293"/>
      <c r="QPD1" s="293"/>
      <c r="QPE1" s="293"/>
      <c r="QPF1" s="293"/>
      <c r="QPG1" s="293"/>
      <c r="QPH1" s="293"/>
      <c r="QPI1" s="293"/>
      <c r="QPJ1" s="293"/>
      <c r="QPK1" s="293"/>
      <c r="QPL1" s="293"/>
      <c r="QPM1" s="293"/>
      <c r="QPN1" s="293"/>
      <c r="QPO1" s="293"/>
      <c r="QPP1" s="293"/>
      <c r="QPQ1" s="293"/>
      <c r="QPR1" s="293"/>
      <c r="QPS1" s="293"/>
      <c r="QPT1" s="293"/>
      <c r="QPU1" s="293"/>
      <c r="QPV1" s="293"/>
      <c r="QPW1" s="293"/>
      <c r="QPX1" s="293"/>
      <c r="QPY1" s="293"/>
      <c r="QPZ1" s="293"/>
      <c r="QQA1" s="293"/>
      <c r="QQB1" s="293"/>
      <c r="QQC1" s="293"/>
      <c r="QQD1" s="293"/>
      <c r="QQE1" s="293"/>
      <c r="QQF1" s="293"/>
      <c r="QQG1" s="293"/>
      <c r="QQH1" s="293"/>
      <c r="QQI1" s="293"/>
      <c r="QQJ1" s="293"/>
      <c r="QQK1" s="293"/>
      <c r="QQL1" s="293"/>
      <c r="QQM1" s="293"/>
      <c r="QQN1" s="293"/>
      <c r="QQO1" s="293"/>
      <c r="QQP1" s="293"/>
      <c r="QQQ1" s="293"/>
      <c r="QQR1" s="293"/>
      <c r="QQS1" s="293"/>
      <c r="QQT1" s="293"/>
      <c r="QQU1" s="293"/>
      <c r="QQV1" s="293"/>
      <c r="QQW1" s="293"/>
      <c r="QQX1" s="293"/>
      <c r="QQY1" s="293"/>
      <c r="QQZ1" s="293"/>
      <c r="QRA1" s="293"/>
      <c r="QRB1" s="293"/>
      <c r="QRC1" s="293"/>
      <c r="QRD1" s="293"/>
      <c r="QRE1" s="293"/>
      <c r="QRF1" s="293"/>
      <c r="QRG1" s="293"/>
      <c r="QRH1" s="293"/>
      <c r="QRI1" s="293"/>
      <c r="QRJ1" s="293"/>
      <c r="QRK1" s="293"/>
      <c r="QRL1" s="293"/>
      <c r="QRM1" s="293"/>
      <c r="QRN1" s="293"/>
      <c r="QRO1" s="293"/>
      <c r="QRP1" s="293"/>
      <c r="QRQ1" s="293"/>
      <c r="QRR1" s="293"/>
      <c r="QRS1" s="293"/>
      <c r="QRT1" s="293"/>
      <c r="QRU1" s="293"/>
      <c r="QRV1" s="293"/>
      <c r="QRW1" s="293"/>
      <c r="QRX1" s="293"/>
      <c r="QRY1" s="293"/>
      <c r="QRZ1" s="293"/>
      <c r="QSA1" s="293"/>
      <c r="QSB1" s="293"/>
      <c r="QSC1" s="293"/>
      <c r="QSD1" s="293"/>
      <c r="QSE1" s="293"/>
      <c r="QSF1" s="293"/>
      <c r="QSG1" s="293"/>
      <c r="QSH1" s="293"/>
      <c r="QSI1" s="293"/>
      <c r="QSJ1" s="293"/>
      <c r="QSK1" s="293"/>
      <c r="QSL1" s="293"/>
      <c r="QSM1" s="293"/>
      <c r="QSN1" s="293"/>
      <c r="QSO1" s="293"/>
      <c r="QSP1" s="293"/>
      <c r="QSQ1" s="293"/>
      <c r="QSR1" s="293"/>
      <c r="QSS1" s="293"/>
      <c r="QST1" s="293"/>
      <c r="QSU1" s="293"/>
      <c r="QSV1" s="293"/>
      <c r="QSW1" s="293"/>
      <c r="QSX1" s="293"/>
      <c r="QSY1" s="293"/>
      <c r="QSZ1" s="293"/>
      <c r="QTA1" s="293"/>
      <c r="QTB1" s="293"/>
      <c r="QTC1" s="293"/>
      <c r="QTD1" s="293"/>
      <c r="QTE1" s="293"/>
      <c r="QTF1" s="293"/>
      <c r="QTG1" s="293"/>
      <c r="QTH1" s="293"/>
      <c r="QTI1" s="293"/>
      <c r="QTJ1" s="293"/>
      <c r="QTK1" s="293"/>
      <c r="QTL1" s="293"/>
      <c r="QTM1" s="293"/>
      <c r="QTN1" s="293"/>
      <c r="QTO1" s="293"/>
      <c r="QTP1" s="293"/>
      <c r="QTQ1" s="293"/>
      <c r="QTR1" s="293"/>
      <c r="QTS1" s="293"/>
      <c r="QTT1" s="293"/>
      <c r="QTU1" s="293"/>
      <c r="QTV1" s="293"/>
      <c r="QTW1" s="293"/>
      <c r="QTX1" s="293"/>
      <c r="QTY1" s="293"/>
      <c r="QTZ1" s="293"/>
      <c r="QUA1" s="293"/>
      <c r="QUB1" s="293"/>
      <c r="QUC1" s="293"/>
      <c r="QUD1" s="293"/>
      <c r="QUE1" s="293"/>
      <c r="QUF1" s="293"/>
      <c r="QUG1" s="293"/>
      <c r="QUH1" s="293"/>
      <c r="QUI1" s="293"/>
      <c r="QUJ1" s="293"/>
      <c r="QUK1" s="293"/>
      <c r="QUL1" s="293"/>
      <c r="QUM1" s="293"/>
      <c r="QUN1" s="293"/>
      <c r="QUO1" s="293"/>
      <c r="QUP1" s="293"/>
      <c r="QUQ1" s="293"/>
      <c r="QUR1" s="293"/>
      <c r="QUS1" s="293"/>
      <c r="QUT1" s="293"/>
      <c r="QUU1" s="293"/>
      <c r="QUV1" s="293"/>
      <c r="QUW1" s="293"/>
      <c r="QUX1" s="293"/>
      <c r="QUY1" s="293"/>
      <c r="QUZ1" s="293"/>
      <c r="QVA1" s="293"/>
      <c r="QVB1" s="293"/>
      <c r="QVC1" s="293"/>
      <c r="QVD1" s="293"/>
      <c r="QVE1" s="293"/>
      <c r="QVF1" s="293"/>
      <c r="QVG1" s="293"/>
      <c r="QVH1" s="293"/>
      <c r="QVI1" s="293"/>
      <c r="QVJ1" s="293"/>
      <c r="QVK1" s="293"/>
      <c r="QVL1" s="293"/>
      <c r="QVM1" s="293"/>
      <c r="QVN1" s="293"/>
      <c r="QVO1" s="293"/>
      <c r="QVP1" s="293"/>
      <c r="QVQ1" s="293"/>
      <c r="QVR1" s="293"/>
      <c r="QVS1" s="293"/>
      <c r="QVT1" s="293"/>
      <c r="QVU1" s="293"/>
      <c r="QVV1" s="293"/>
      <c r="QVW1" s="293"/>
      <c r="QVX1" s="293"/>
      <c r="QVY1" s="293"/>
      <c r="QVZ1" s="293"/>
      <c r="QWA1" s="293"/>
      <c r="QWB1" s="293"/>
      <c r="QWC1" s="293"/>
      <c r="QWD1" s="293"/>
      <c r="QWE1" s="293"/>
      <c r="QWF1" s="293"/>
      <c r="QWG1" s="293"/>
      <c r="QWH1" s="293"/>
      <c r="QWI1" s="293"/>
      <c r="QWJ1" s="293"/>
      <c r="QWK1" s="293"/>
      <c r="QWL1" s="293"/>
      <c r="QWM1" s="293"/>
      <c r="QWN1" s="293"/>
      <c r="QWO1" s="293"/>
      <c r="QWP1" s="293"/>
      <c r="QWQ1" s="293"/>
      <c r="QWR1" s="293"/>
      <c r="QWS1" s="293"/>
      <c r="QWT1" s="293"/>
      <c r="QWU1" s="293"/>
      <c r="QWV1" s="293"/>
      <c r="QWW1" s="293"/>
      <c r="QWX1" s="293"/>
      <c r="QWY1" s="293"/>
      <c r="QWZ1" s="293"/>
      <c r="QXA1" s="293"/>
      <c r="QXB1" s="293"/>
      <c r="QXC1" s="293"/>
      <c r="QXD1" s="293"/>
      <c r="QXE1" s="293"/>
      <c r="QXF1" s="293"/>
      <c r="QXG1" s="293"/>
      <c r="QXH1" s="293"/>
      <c r="QXI1" s="293"/>
      <c r="QXJ1" s="293"/>
      <c r="QXK1" s="293"/>
      <c r="QXL1" s="293"/>
      <c r="QXM1" s="293"/>
      <c r="QXN1" s="293"/>
      <c r="QXO1" s="293"/>
      <c r="QXP1" s="293"/>
      <c r="QXQ1" s="293"/>
      <c r="QXR1" s="293"/>
      <c r="QXS1" s="293"/>
      <c r="QXT1" s="293"/>
      <c r="QXU1" s="293"/>
      <c r="QXV1" s="293"/>
      <c r="QXW1" s="293"/>
      <c r="QXX1" s="293"/>
      <c r="QXY1" s="293"/>
      <c r="QXZ1" s="293"/>
      <c r="QYA1" s="293"/>
      <c r="QYB1" s="293"/>
      <c r="QYC1" s="293"/>
      <c r="QYD1" s="293"/>
      <c r="QYE1" s="293"/>
      <c r="QYF1" s="293"/>
      <c r="QYG1" s="293"/>
      <c r="QYH1" s="293"/>
      <c r="QYI1" s="293"/>
      <c r="QYJ1" s="293"/>
      <c r="QYK1" s="293"/>
      <c r="QYL1" s="293"/>
      <c r="QYM1" s="293"/>
      <c r="QYN1" s="293"/>
      <c r="QYO1" s="293"/>
      <c r="QYP1" s="293"/>
      <c r="QYQ1" s="293"/>
      <c r="QYR1" s="293"/>
      <c r="QYS1" s="293"/>
      <c r="QYT1" s="293"/>
      <c r="QYU1" s="293"/>
      <c r="QYV1" s="293"/>
      <c r="QYW1" s="293"/>
      <c r="QYX1" s="293"/>
      <c r="QYY1" s="293"/>
      <c r="QYZ1" s="293"/>
      <c r="QZA1" s="293"/>
      <c r="QZB1" s="293"/>
      <c r="QZC1" s="293"/>
      <c r="QZD1" s="293"/>
      <c r="QZE1" s="293"/>
      <c r="QZF1" s="293"/>
      <c r="QZG1" s="293"/>
      <c r="QZH1" s="293"/>
      <c r="QZI1" s="293"/>
      <c r="QZJ1" s="293"/>
      <c r="QZK1" s="293"/>
      <c r="QZL1" s="293"/>
      <c r="QZM1" s="293"/>
      <c r="QZN1" s="293"/>
      <c r="QZO1" s="293"/>
      <c r="QZP1" s="293"/>
      <c r="QZQ1" s="293"/>
      <c r="QZR1" s="293"/>
      <c r="QZS1" s="293"/>
      <c r="QZT1" s="293"/>
      <c r="QZU1" s="293"/>
      <c r="QZV1" s="293"/>
      <c r="QZW1" s="293"/>
      <c r="QZX1" s="293"/>
      <c r="QZY1" s="293"/>
      <c r="QZZ1" s="293"/>
      <c r="RAA1" s="293"/>
      <c r="RAB1" s="293"/>
      <c r="RAC1" s="293"/>
      <c r="RAD1" s="293"/>
      <c r="RAE1" s="293"/>
      <c r="RAF1" s="293"/>
      <c r="RAG1" s="293"/>
      <c r="RAH1" s="293"/>
      <c r="RAI1" s="293"/>
      <c r="RAJ1" s="293"/>
      <c r="RAK1" s="293"/>
      <c r="RAL1" s="293"/>
      <c r="RAM1" s="293"/>
      <c r="RAN1" s="293"/>
      <c r="RAO1" s="293"/>
      <c r="RAP1" s="293"/>
      <c r="RAQ1" s="293"/>
      <c r="RAR1" s="293"/>
      <c r="RAS1" s="293"/>
      <c r="RAT1" s="293"/>
      <c r="RAU1" s="293"/>
      <c r="RAV1" s="293"/>
      <c r="RAW1" s="293"/>
      <c r="RAX1" s="293"/>
      <c r="RAY1" s="293"/>
      <c r="RAZ1" s="293"/>
      <c r="RBA1" s="293"/>
      <c r="RBB1" s="293"/>
      <c r="RBC1" s="293"/>
      <c r="RBD1" s="293"/>
      <c r="RBE1" s="293"/>
      <c r="RBF1" s="293"/>
      <c r="RBG1" s="293"/>
      <c r="RBH1" s="293"/>
      <c r="RBI1" s="293"/>
      <c r="RBJ1" s="293"/>
      <c r="RBK1" s="293"/>
      <c r="RBL1" s="293"/>
      <c r="RBM1" s="293"/>
      <c r="RBN1" s="293"/>
      <c r="RBO1" s="293"/>
      <c r="RBP1" s="293"/>
      <c r="RBQ1" s="293"/>
      <c r="RBR1" s="293"/>
      <c r="RBS1" s="293"/>
      <c r="RBT1" s="293"/>
      <c r="RBU1" s="293"/>
      <c r="RBV1" s="293"/>
      <c r="RBW1" s="293"/>
      <c r="RBX1" s="293"/>
      <c r="RBY1" s="293"/>
      <c r="RBZ1" s="293"/>
      <c r="RCA1" s="293"/>
      <c r="RCB1" s="293"/>
      <c r="RCC1" s="293"/>
      <c r="RCD1" s="293"/>
      <c r="RCE1" s="293"/>
      <c r="RCF1" s="293"/>
      <c r="RCG1" s="293"/>
      <c r="RCH1" s="293"/>
      <c r="RCI1" s="293"/>
      <c r="RCJ1" s="293"/>
      <c r="RCK1" s="293"/>
      <c r="RCL1" s="293"/>
      <c r="RCM1" s="293"/>
      <c r="RCN1" s="293"/>
      <c r="RCO1" s="293"/>
      <c r="RCP1" s="293"/>
      <c r="RCQ1" s="293"/>
      <c r="RCR1" s="293"/>
      <c r="RCS1" s="293"/>
      <c r="RCT1" s="293"/>
      <c r="RCU1" s="293"/>
      <c r="RCV1" s="293"/>
      <c r="RCW1" s="293"/>
      <c r="RCX1" s="293"/>
      <c r="RCY1" s="293"/>
      <c r="RCZ1" s="293"/>
      <c r="RDA1" s="293"/>
      <c r="RDB1" s="293"/>
      <c r="RDC1" s="293"/>
      <c r="RDD1" s="293"/>
      <c r="RDE1" s="293"/>
      <c r="RDF1" s="293"/>
      <c r="RDG1" s="293"/>
      <c r="RDH1" s="293"/>
      <c r="RDI1" s="293"/>
      <c r="RDJ1" s="293"/>
      <c r="RDK1" s="293"/>
      <c r="RDL1" s="293"/>
      <c r="RDM1" s="293"/>
      <c r="RDN1" s="293"/>
      <c r="RDO1" s="293"/>
      <c r="RDP1" s="293"/>
      <c r="RDQ1" s="293"/>
      <c r="RDR1" s="293"/>
      <c r="RDS1" s="293"/>
      <c r="RDT1" s="293"/>
      <c r="RDU1" s="293"/>
      <c r="RDV1" s="293"/>
      <c r="RDW1" s="293"/>
      <c r="RDX1" s="293"/>
      <c r="RDY1" s="293"/>
      <c r="RDZ1" s="293"/>
      <c r="REA1" s="293"/>
      <c r="REB1" s="293"/>
      <c r="REC1" s="293"/>
      <c r="RED1" s="293"/>
      <c r="REE1" s="293"/>
      <c r="REF1" s="293"/>
      <c r="REG1" s="293"/>
      <c r="REH1" s="293"/>
      <c r="REI1" s="293"/>
      <c r="REJ1" s="293"/>
      <c r="REK1" s="293"/>
      <c r="REL1" s="293"/>
      <c r="REM1" s="293"/>
      <c r="REN1" s="293"/>
      <c r="REO1" s="293"/>
      <c r="REP1" s="293"/>
      <c r="REQ1" s="293"/>
      <c r="RER1" s="293"/>
      <c r="RES1" s="293"/>
      <c r="RET1" s="293"/>
      <c r="REU1" s="293"/>
      <c r="REV1" s="293"/>
      <c r="REW1" s="293"/>
      <c r="REX1" s="293"/>
      <c r="REY1" s="293"/>
      <c r="REZ1" s="293"/>
      <c r="RFA1" s="293"/>
      <c r="RFB1" s="293"/>
      <c r="RFC1" s="293"/>
      <c r="RFD1" s="293"/>
      <c r="RFE1" s="293"/>
      <c r="RFF1" s="293"/>
      <c r="RFG1" s="293"/>
      <c r="RFH1" s="293"/>
      <c r="RFI1" s="293"/>
      <c r="RFJ1" s="293"/>
      <c r="RFK1" s="293"/>
      <c r="RFL1" s="293"/>
      <c r="RFM1" s="293"/>
      <c r="RFN1" s="293"/>
      <c r="RFO1" s="293"/>
      <c r="RFP1" s="293"/>
      <c r="RFQ1" s="293"/>
      <c r="RFR1" s="293"/>
      <c r="RFS1" s="293"/>
      <c r="RFT1" s="293"/>
      <c r="RFU1" s="293"/>
      <c r="RFV1" s="293"/>
      <c r="RFW1" s="293"/>
      <c r="RFX1" s="293"/>
      <c r="RFY1" s="293"/>
      <c r="RFZ1" s="293"/>
      <c r="RGA1" s="293"/>
      <c r="RGB1" s="293"/>
      <c r="RGC1" s="293"/>
      <c r="RGD1" s="293"/>
      <c r="RGE1" s="293"/>
      <c r="RGF1" s="293"/>
      <c r="RGG1" s="293"/>
      <c r="RGH1" s="293"/>
      <c r="RGI1" s="293"/>
      <c r="RGJ1" s="293"/>
      <c r="RGK1" s="293"/>
      <c r="RGL1" s="293"/>
      <c r="RGM1" s="293"/>
      <c r="RGN1" s="293"/>
      <c r="RGO1" s="293"/>
      <c r="RGP1" s="293"/>
      <c r="RGQ1" s="293"/>
      <c r="RGR1" s="293"/>
      <c r="RGS1" s="293"/>
      <c r="RGT1" s="293"/>
      <c r="RGU1" s="293"/>
      <c r="RGV1" s="293"/>
      <c r="RGW1" s="293"/>
      <c r="RGX1" s="293"/>
      <c r="RGY1" s="293"/>
      <c r="RGZ1" s="293"/>
      <c r="RHA1" s="293"/>
      <c r="RHB1" s="293"/>
      <c r="RHC1" s="293"/>
      <c r="RHD1" s="293"/>
      <c r="RHE1" s="293"/>
      <c r="RHF1" s="293"/>
      <c r="RHG1" s="293"/>
      <c r="RHH1" s="293"/>
      <c r="RHI1" s="293"/>
      <c r="RHJ1" s="293"/>
      <c r="RHK1" s="293"/>
      <c r="RHL1" s="293"/>
      <c r="RHM1" s="293"/>
      <c r="RHN1" s="293"/>
      <c r="RHO1" s="293"/>
      <c r="RHP1" s="293"/>
      <c r="RHQ1" s="293"/>
      <c r="RHR1" s="293"/>
      <c r="RHS1" s="293"/>
      <c r="RHT1" s="293"/>
      <c r="RHU1" s="293"/>
      <c r="RHV1" s="293"/>
      <c r="RHW1" s="293"/>
      <c r="RHX1" s="293"/>
      <c r="RHY1" s="293"/>
      <c r="RHZ1" s="293"/>
      <c r="RIA1" s="293"/>
      <c r="RIB1" s="293"/>
      <c r="RIC1" s="293"/>
      <c r="RID1" s="293"/>
      <c r="RIE1" s="293"/>
      <c r="RIF1" s="293"/>
      <c r="RIG1" s="293"/>
      <c r="RIH1" s="293"/>
      <c r="RII1" s="293"/>
      <c r="RIJ1" s="293"/>
      <c r="RIK1" s="293"/>
      <c r="RIL1" s="293"/>
      <c r="RIM1" s="293"/>
      <c r="RIN1" s="293"/>
      <c r="RIO1" s="293"/>
      <c r="RIP1" s="293"/>
      <c r="RIQ1" s="293"/>
      <c r="RIR1" s="293"/>
      <c r="RIS1" s="293"/>
      <c r="RIT1" s="293"/>
      <c r="RIU1" s="293"/>
      <c r="RIV1" s="293"/>
      <c r="RIW1" s="293"/>
      <c r="RIX1" s="293"/>
      <c r="RIY1" s="293"/>
      <c r="RIZ1" s="293"/>
      <c r="RJA1" s="293"/>
      <c r="RJB1" s="293"/>
      <c r="RJC1" s="293"/>
      <c r="RJD1" s="293"/>
      <c r="RJE1" s="293"/>
      <c r="RJF1" s="293"/>
      <c r="RJG1" s="293"/>
      <c r="RJH1" s="293"/>
      <c r="RJI1" s="293"/>
      <c r="RJJ1" s="293"/>
      <c r="RJK1" s="293"/>
      <c r="RJL1" s="293"/>
      <c r="RJM1" s="293"/>
      <c r="RJN1" s="293"/>
      <c r="RJO1" s="293"/>
      <c r="RJP1" s="293"/>
      <c r="RJQ1" s="293"/>
      <c r="RJR1" s="293"/>
      <c r="RJS1" s="293"/>
      <c r="RJT1" s="293"/>
      <c r="RJU1" s="293"/>
      <c r="RJV1" s="293"/>
      <c r="RJW1" s="293"/>
      <c r="RJX1" s="293"/>
      <c r="RJY1" s="293"/>
      <c r="RJZ1" s="293"/>
      <c r="RKA1" s="293"/>
      <c r="RKB1" s="293"/>
      <c r="RKC1" s="293"/>
      <c r="RKD1" s="293"/>
      <c r="RKE1" s="293"/>
      <c r="RKF1" s="293"/>
      <c r="RKG1" s="293"/>
      <c r="RKH1" s="293"/>
      <c r="RKI1" s="293"/>
      <c r="RKJ1" s="293"/>
      <c r="RKK1" s="293"/>
      <c r="RKL1" s="293"/>
      <c r="RKM1" s="293"/>
      <c r="RKN1" s="293"/>
      <c r="RKO1" s="293"/>
      <c r="RKP1" s="293"/>
      <c r="RKQ1" s="293"/>
      <c r="RKR1" s="293"/>
      <c r="RKS1" s="293"/>
      <c r="RKT1" s="293"/>
      <c r="RKU1" s="293"/>
      <c r="RKV1" s="293"/>
      <c r="RKW1" s="293"/>
      <c r="RKX1" s="293"/>
      <c r="RKY1" s="293"/>
      <c r="RKZ1" s="293"/>
      <c r="RLA1" s="293"/>
      <c r="RLB1" s="293"/>
      <c r="RLC1" s="293"/>
      <c r="RLD1" s="293"/>
      <c r="RLE1" s="293"/>
      <c r="RLF1" s="293"/>
      <c r="RLG1" s="293"/>
      <c r="RLH1" s="293"/>
      <c r="RLI1" s="293"/>
      <c r="RLJ1" s="293"/>
      <c r="RLK1" s="293"/>
      <c r="RLL1" s="293"/>
      <c r="RLM1" s="293"/>
      <c r="RLN1" s="293"/>
      <c r="RLO1" s="293"/>
      <c r="RLP1" s="293"/>
      <c r="RLQ1" s="293"/>
      <c r="RLR1" s="293"/>
      <c r="RLS1" s="293"/>
      <c r="RLT1" s="293"/>
      <c r="RLU1" s="293"/>
      <c r="RLV1" s="293"/>
      <c r="RLW1" s="293"/>
      <c r="RLX1" s="293"/>
      <c r="RLY1" s="293"/>
      <c r="RLZ1" s="293"/>
      <c r="RMA1" s="293"/>
      <c r="RMB1" s="293"/>
      <c r="RMC1" s="293"/>
      <c r="RMD1" s="293"/>
      <c r="RME1" s="293"/>
      <c r="RMF1" s="293"/>
      <c r="RMG1" s="293"/>
      <c r="RMH1" s="293"/>
      <c r="RMI1" s="293"/>
      <c r="RMJ1" s="293"/>
      <c r="RMK1" s="293"/>
      <c r="RML1" s="293"/>
      <c r="RMM1" s="293"/>
      <c r="RMN1" s="293"/>
      <c r="RMO1" s="293"/>
      <c r="RMP1" s="293"/>
      <c r="RMQ1" s="293"/>
      <c r="RMR1" s="293"/>
      <c r="RMS1" s="293"/>
      <c r="RMT1" s="293"/>
      <c r="RMU1" s="293"/>
      <c r="RMV1" s="293"/>
      <c r="RMW1" s="293"/>
      <c r="RMX1" s="293"/>
      <c r="RMY1" s="293"/>
      <c r="RMZ1" s="293"/>
      <c r="RNA1" s="293"/>
      <c r="RNB1" s="293"/>
      <c r="RNC1" s="293"/>
      <c r="RND1" s="293"/>
      <c r="RNE1" s="293"/>
      <c r="RNF1" s="293"/>
      <c r="RNG1" s="293"/>
      <c r="RNH1" s="293"/>
      <c r="RNI1" s="293"/>
      <c r="RNJ1" s="293"/>
      <c r="RNK1" s="293"/>
      <c r="RNL1" s="293"/>
      <c r="RNM1" s="293"/>
      <c r="RNN1" s="293"/>
      <c r="RNO1" s="293"/>
      <c r="RNP1" s="293"/>
      <c r="RNQ1" s="293"/>
      <c r="RNR1" s="293"/>
      <c r="RNS1" s="293"/>
      <c r="RNT1" s="293"/>
      <c r="RNU1" s="293"/>
      <c r="RNV1" s="293"/>
      <c r="RNW1" s="293"/>
      <c r="RNX1" s="293"/>
      <c r="RNY1" s="293"/>
      <c r="RNZ1" s="293"/>
      <c r="ROA1" s="293"/>
      <c r="ROB1" s="293"/>
      <c r="ROC1" s="293"/>
      <c r="ROD1" s="293"/>
      <c r="ROE1" s="293"/>
      <c r="ROF1" s="293"/>
      <c r="ROG1" s="293"/>
      <c r="ROH1" s="293"/>
      <c r="ROI1" s="293"/>
      <c r="ROJ1" s="293"/>
      <c r="ROK1" s="293"/>
      <c r="ROL1" s="293"/>
      <c r="ROM1" s="293"/>
      <c r="RON1" s="293"/>
      <c r="ROO1" s="293"/>
      <c r="ROP1" s="293"/>
      <c r="ROQ1" s="293"/>
      <c r="ROR1" s="293"/>
      <c r="ROS1" s="293"/>
      <c r="ROT1" s="293"/>
      <c r="ROU1" s="293"/>
      <c r="ROV1" s="293"/>
      <c r="ROW1" s="293"/>
      <c r="ROX1" s="293"/>
      <c r="ROY1" s="293"/>
      <c r="ROZ1" s="293"/>
      <c r="RPA1" s="293"/>
      <c r="RPB1" s="293"/>
      <c r="RPC1" s="293"/>
      <c r="RPD1" s="293"/>
      <c r="RPE1" s="293"/>
      <c r="RPF1" s="293"/>
      <c r="RPG1" s="293"/>
      <c r="RPH1" s="293"/>
      <c r="RPI1" s="293"/>
      <c r="RPJ1" s="293"/>
      <c r="RPK1" s="293"/>
      <c r="RPL1" s="293"/>
      <c r="RPM1" s="293"/>
      <c r="RPN1" s="293"/>
      <c r="RPO1" s="293"/>
      <c r="RPP1" s="293"/>
      <c r="RPQ1" s="293"/>
      <c r="RPR1" s="293"/>
      <c r="RPS1" s="293"/>
      <c r="RPT1" s="293"/>
      <c r="RPU1" s="293"/>
      <c r="RPV1" s="293"/>
      <c r="RPW1" s="293"/>
      <c r="RPX1" s="293"/>
      <c r="RPY1" s="293"/>
      <c r="RPZ1" s="293"/>
      <c r="RQA1" s="293"/>
      <c r="RQB1" s="293"/>
      <c r="RQC1" s="293"/>
      <c r="RQD1" s="293"/>
      <c r="RQE1" s="293"/>
      <c r="RQF1" s="293"/>
      <c r="RQG1" s="293"/>
      <c r="RQH1" s="293"/>
      <c r="RQI1" s="293"/>
      <c r="RQJ1" s="293"/>
      <c r="RQK1" s="293"/>
      <c r="RQL1" s="293"/>
      <c r="RQM1" s="293"/>
      <c r="RQN1" s="293"/>
      <c r="RQO1" s="293"/>
      <c r="RQP1" s="293"/>
      <c r="RQQ1" s="293"/>
      <c r="RQR1" s="293"/>
      <c r="RQS1" s="293"/>
      <c r="RQT1" s="293"/>
      <c r="RQU1" s="293"/>
      <c r="RQV1" s="293"/>
      <c r="RQW1" s="293"/>
      <c r="RQX1" s="293"/>
      <c r="RQY1" s="293"/>
      <c r="RQZ1" s="293"/>
      <c r="RRA1" s="293"/>
      <c r="RRB1" s="293"/>
      <c r="RRC1" s="293"/>
      <c r="RRD1" s="293"/>
      <c r="RRE1" s="293"/>
      <c r="RRF1" s="293"/>
      <c r="RRG1" s="293"/>
      <c r="RRH1" s="293"/>
      <c r="RRI1" s="293"/>
      <c r="RRJ1" s="293"/>
      <c r="RRK1" s="293"/>
      <c r="RRL1" s="293"/>
      <c r="RRM1" s="293"/>
      <c r="RRN1" s="293"/>
      <c r="RRO1" s="293"/>
      <c r="RRP1" s="293"/>
      <c r="RRQ1" s="293"/>
      <c r="RRR1" s="293"/>
      <c r="RRS1" s="293"/>
      <c r="RRT1" s="293"/>
      <c r="RRU1" s="293"/>
      <c r="RRV1" s="293"/>
      <c r="RRW1" s="293"/>
      <c r="RRX1" s="293"/>
      <c r="RRY1" s="293"/>
      <c r="RRZ1" s="293"/>
      <c r="RSA1" s="293"/>
      <c r="RSB1" s="293"/>
      <c r="RSC1" s="293"/>
      <c r="RSD1" s="293"/>
      <c r="RSE1" s="293"/>
      <c r="RSF1" s="293"/>
      <c r="RSG1" s="293"/>
      <c r="RSH1" s="293"/>
      <c r="RSI1" s="293"/>
      <c r="RSJ1" s="293"/>
      <c r="RSK1" s="293"/>
      <c r="RSL1" s="293"/>
      <c r="RSM1" s="293"/>
      <c r="RSN1" s="293"/>
      <c r="RSO1" s="293"/>
      <c r="RSP1" s="293"/>
      <c r="RSQ1" s="293"/>
      <c r="RSR1" s="293"/>
      <c r="RSS1" s="293"/>
      <c r="RST1" s="293"/>
      <c r="RSU1" s="293"/>
      <c r="RSV1" s="293"/>
      <c r="RSW1" s="293"/>
      <c r="RSX1" s="293"/>
      <c r="RSY1" s="293"/>
      <c r="RSZ1" s="293"/>
      <c r="RTA1" s="293"/>
      <c r="RTB1" s="293"/>
      <c r="RTC1" s="293"/>
      <c r="RTD1" s="293"/>
      <c r="RTE1" s="293"/>
      <c r="RTF1" s="293"/>
      <c r="RTG1" s="293"/>
      <c r="RTH1" s="293"/>
      <c r="RTI1" s="293"/>
      <c r="RTJ1" s="293"/>
      <c r="RTK1" s="293"/>
      <c r="RTL1" s="293"/>
      <c r="RTM1" s="293"/>
      <c r="RTN1" s="293"/>
      <c r="RTO1" s="293"/>
      <c r="RTP1" s="293"/>
      <c r="RTQ1" s="293"/>
      <c r="RTR1" s="293"/>
      <c r="RTS1" s="293"/>
      <c r="RTT1" s="293"/>
      <c r="RTU1" s="293"/>
      <c r="RTV1" s="293"/>
      <c r="RTW1" s="293"/>
      <c r="RTX1" s="293"/>
      <c r="RTY1" s="293"/>
      <c r="RTZ1" s="293"/>
      <c r="RUA1" s="293"/>
      <c r="RUB1" s="293"/>
      <c r="RUC1" s="293"/>
      <c r="RUD1" s="293"/>
      <c r="RUE1" s="293"/>
      <c r="RUF1" s="293"/>
      <c r="RUG1" s="293"/>
      <c r="RUH1" s="293"/>
      <c r="RUI1" s="293"/>
      <c r="RUJ1" s="293"/>
      <c r="RUK1" s="293"/>
      <c r="RUL1" s="293"/>
      <c r="RUM1" s="293"/>
      <c r="RUN1" s="293"/>
      <c r="RUO1" s="293"/>
      <c r="RUP1" s="293"/>
      <c r="RUQ1" s="293"/>
      <c r="RUR1" s="293"/>
      <c r="RUS1" s="293"/>
      <c r="RUT1" s="293"/>
      <c r="RUU1" s="293"/>
      <c r="RUV1" s="293"/>
      <c r="RUW1" s="293"/>
      <c r="RUX1" s="293"/>
      <c r="RUY1" s="293"/>
      <c r="RUZ1" s="293"/>
      <c r="RVA1" s="293"/>
      <c r="RVB1" s="293"/>
      <c r="RVC1" s="293"/>
      <c r="RVD1" s="293"/>
      <c r="RVE1" s="293"/>
      <c r="RVF1" s="293"/>
      <c r="RVG1" s="293"/>
      <c r="RVH1" s="293"/>
      <c r="RVI1" s="293"/>
      <c r="RVJ1" s="293"/>
      <c r="RVK1" s="293"/>
      <c r="RVL1" s="293"/>
      <c r="RVM1" s="293"/>
      <c r="RVN1" s="293"/>
      <c r="RVO1" s="293"/>
      <c r="RVP1" s="293"/>
      <c r="RVQ1" s="293"/>
      <c r="RVR1" s="293"/>
      <c r="RVS1" s="293"/>
      <c r="RVT1" s="293"/>
      <c r="RVU1" s="293"/>
      <c r="RVV1" s="293"/>
      <c r="RVW1" s="293"/>
      <c r="RVX1" s="293"/>
      <c r="RVY1" s="293"/>
      <c r="RVZ1" s="293"/>
      <c r="RWA1" s="293"/>
      <c r="RWB1" s="293"/>
      <c r="RWC1" s="293"/>
      <c r="RWD1" s="293"/>
      <c r="RWE1" s="293"/>
      <c r="RWF1" s="293"/>
      <c r="RWG1" s="293"/>
      <c r="RWH1" s="293"/>
      <c r="RWI1" s="293"/>
      <c r="RWJ1" s="293"/>
      <c r="RWK1" s="293"/>
      <c r="RWL1" s="293"/>
      <c r="RWM1" s="293"/>
      <c r="RWN1" s="293"/>
      <c r="RWO1" s="293"/>
      <c r="RWP1" s="293"/>
      <c r="RWQ1" s="293"/>
      <c r="RWR1" s="293"/>
      <c r="RWS1" s="293"/>
      <c r="RWT1" s="293"/>
      <c r="RWU1" s="293"/>
      <c r="RWV1" s="293"/>
      <c r="RWW1" s="293"/>
      <c r="RWX1" s="293"/>
      <c r="RWY1" s="293"/>
      <c r="RWZ1" s="293"/>
      <c r="RXA1" s="293"/>
      <c r="RXB1" s="293"/>
      <c r="RXC1" s="293"/>
      <c r="RXD1" s="293"/>
      <c r="RXE1" s="293"/>
      <c r="RXF1" s="293"/>
      <c r="RXG1" s="293"/>
      <c r="RXH1" s="293"/>
      <c r="RXI1" s="293"/>
      <c r="RXJ1" s="293"/>
      <c r="RXK1" s="293"/>
      <c r="RXL1" s="293"/>
      <c r="RXM1" s="293"/>
      <c r="RXN1" s="293"/>
      <c r="RXO1" s="293"/>
      <c r="RXP1" s="293"/>
      <c r="RXQ1" s="293"/>
      <c r="RXR1" s="293"/>
      <c r="RXS1" s="293"/>
      <c r="RXT1" s="293"/>
      <c r="RXU1" s="293"/>
      <c r="RXV1" s="293"/>
      <c r="RXW1" s="293"/>
      <c r="RXX1" s="293"/>
      <c r="RXY1" s="293"/>
      <c r="RXZ1" s="293"/>
      <c r="RYA1" s="293"/>
      <c r="RYB1" s="293"/>
      <c r="RYC1" s="293"/>
      <c r="RYD1" s="293"/>
      <c r="RYE1" s="293"/>
      <c r="RYF1" s="293"/>
      <c r="RYG1" s="293"/>
      <c r="RYH1" s="293"/>
      <c r="RYI1" s="293"/>
      <c r="RYJ1" s="293"/>
      <c r="RYK1" s="293"/>
      <c r="RYL1" s="293"/>
      <c r="RYM1" s="293"/>
      <c r="RYN1" s="293"/>
      <c r="RYO1" s="293"/>
      <c r="RYP1" s="293"/>
      <c r="RYQ1" s="293"/>
      <c r="RYR1" s="293"/>
      <c r="RYS1" s="293"/>
      <c r="RYT1" s="293"/>
      <c r="RYU1" s="293"/>
      <c r="RYV1" s="293"/>
      <c r="RYW1" s="293"/>
      <c r="RYX1" s="293"/>
      <c r="RYY1" s="293"/>
      <c r="RYZ1" s="293"/>
      <c r="RZA1" s="293"/>
      <c r="RZB1" s="293"/>
      <c r="RZC1" s="293"/>
      <c r="RZD1" s="293"/>
      <c r="RZE1" s="293"/>
      <c r="RZF1" s="293"/>
      <c r="RZG1" s="293"/>
      <c r="RZH1" s="293"/>
      <c r="RZI1" s="293"/>
      <c r="RZJ1" s="293"/>
      <c r="RZK1" s="293"/>
      <c r="RZL1" s="293"/>
      <c r="RZM1" s="293"/>
      <c r="RZN1" s="293"/>
      <c r="RZO1" s="293"/>
      <c r="RZP1" s="293"/>
      <c r="RZQ1" s="293"/>
      <c r="RZR1" s="293"/>
      <c r="RZS1" s="293"/>
      <c r="RZT1" s="293"/>
      <c r="RZU1" s="293"/>
      <c r="RZV1" s="293"/>
      <c r="RZW1" s="293"/>
      <c r="RZX1" s="293"/>
      <c r="RZY1" s="293"/>
      <c r="RZZ1" s="293"/>
      <c r="SAA1" s="293"/>
      <c r="SAB1" s="293"/>
      <c r="SAC1" s="293"/>
      <c r="SAD1" s="293"/>
      <c r="SAE1" s="293"/>
      <c r="SAF1" s="293"/>
      <c r="SAG1" s="293"/>
      <c r="SAH1" s="293"/>
      <c r="SAI1" s="293"/>
      <c r="SAJ1" s="293"/>
      <c r="SAK1" s="293"/>
      <c r="SAL1" s="293"/>
      <c r="SAM1" s="293"/>
      <c r="SAN1" s="293"/>
      <c r="SAO1" s="293"/>
      <c r="SAP1" s="293"/>
      <c r="SAQ1" s="293"/>
      <c r="SAR1" s="293"/>
      <c r="SAS1" s="293"/>
      <c r="SAT1" s="293"/>
      <c r="SAU1" s="293"/>
      <c r="SAV1" s="293"/>
      <c r="SAW1" s="293"/>
      <c r="SAX1" s="293"/>
      <c r="SAY1" s="293"/>
      <c r="SAZ1" s="293"/>
      <c r="SBA1" s="293"/>
      <c r="SBB1" s="293"/>
      <c r="SBC1" s="293"/>
      <c r="SBD1" s="293"/>
      <c r="SBE1" s="293"/>
      <c r="SBF1" s="293"/>
      <c r="SBG1" s="293"/>
      <c r="SBH1" s="293"/>
      <c r="SBI1" s="293"/>
      <c r="SBJ1" s="293"/>
      <c r="SBK1" s="293"/>
      <c r="SBL1" s="293"/>
      <c r="SBM1" s="293"/>
      <c r="SBN1" s="293"/>
      <c r="SBO1" s="293"/>
      <c r="SBP1" s="293"/>
      <c r="SBQ1" s="293"/>
      <c r="SBR1" s="293"/>
      <c r="SBS1" s="293"/>
      <c r="SBT1" s="293"/>
      <c r="SBU1" s="293"/>
      <c r="SBV1" s="293"/>
      <c r="SBW1" s="293"/>
      <c r="SBX1" s="293"/>
      <c r="SBY1" s="293"/>
      <c r="SBZ1" s="293"/>
      <c r="SCA1" s="293"/>
      <c r="SCB1" s="293"/>
      <c r="SCC1" s="293"/>
      <c r="SCD1" s="293"/>
      <c r="SCE1" s="293"/>
      <c r="SCF1" s="293"/>
      <c r="SCG1" s="293"/>
      <c r="SCH1" s="293"/>
      <c r="SCI1" s="293"/>
      <c r="SCJ1" s="293"/>
      <c r="SCK1" s="293"/>
      <c r="SCL1" s="293"/>
      <c r="SCM1" s="293"/>
      <c r="SCN1" s="293"/>
      <c r="SCO1" s="293"/>
      <c r="SCP1" s="293"/>
      <c r="SCQ1" s="293"/>
      <c r="SCR1" s="293"/>
      <c r="SCS1" s="293"/>
      <c r="SCT1" s="293"/>
      <c r="SCU1" s="293"/>
      <c r="SCV1" s="293"/>
      <c r="SCW1" s="293"/>
      <c r="SCX1" s="293"/>
      <c r="SCY1" s="293"/>
      <c r="SCZ1" s="293"/>
      <c r="SDA1" s="293"/>
      <c r="SDB1" s="293"/>
      <c r="SDC1" s="293"/>
      <c r="SDD1" s="293"/>
      <c r="SDE1" s="293"/>
      <c r="SDF1" s="293"/>
      <c r="SDG1" s="293"/>
      <c r="SDH1" s="293"/>
      <c r="SDI1" s="293"/>
      <c r="SDJ1" s="293"/>
      <c r="SDK1" s="293"/>
      <c r="SDL1" s="293"/>
      <c r="SDM1" s="293"/>
      <c r="SDN1" s="293"/>
      <c r="SDO1" s="293"/>
      <c r="SDP1" s="293"/>
      <c r="SDQ1" s="293"/>
      <c r="SDR1" s="293"/>
      <c r="SDS1" s="293"/>
      <c r="SDT1" s="293"/>
      <c r="SDU1" s="293"/>
      <c r="SDV1" s="293"/>
      <c r="SDW1" s="293"/>
      <c r="SDX1" s="293"/>
      <c r="SDY1" s="293"/>
      <c r="SDZ1" s="293"/>
      <c r="SEA1" s="293"/>
      <c r="SEB1" s="293"/>
      <c r="SEC1" s="293"/>
      <c r="SED1" s="293"/>
      <c r="SEE1" s="293"/>
      <c r="SEF1" s="293"/>
      <c r="SEG1" s="293"/>
      <c r="SEH1" s="293"/>
      <c r="SEI1" s="293"/>
      <c r="SEJ1" s="293"/>
      <c r="SEK1" s="293"/>
      <c r="SEL1" s="293"/>
      <c r="SEM1" s="293"/>
      <c r="SEN1" s="293"/>
      <c r="SEO1" s="293"/>
      <c r="SEP1" s="293"/>
      <c r="SEQ1" s="293"/>
      <c r="SER1" s="293"/>
      <c r="SES1" s="293"/>
      <c r="SET1" s="293"/>
      <c r="SEU1" s="293"/>
      <c r="SEV1" s="293"/>
      <c r="SEW1" s="293"/>
      <c r="SEX1" s="293"/>
      <c r="SEY1" s="293"/>
      <c r="SEZ1" s="293"/>
      <c r="SFA1" s="293"/>
      <c r="SFB1" s="293"/>
      <c r="SFC1" s="293"/>
      <c r="SFD1" s="293"/>
      <c r="SFE1" s="293"/>
      <c r="SFF1" s="293"/>
      <c r="SFG1" s="293"/>
      <c r="SFH1" s="293"/>
      <c r="SFI1" s="293"/>
      <c r="SFJ1" s="293"/>
      <c r="SFK1" s="293"/>
      <c r="SFL1" s="293"/>
      <c r="SFM1" s="293"/>
      <c r="SFN1" s="293"/>
      <c r="SFO1" s="293"/>
      <c r="SFP1" s="293"/>
      <c r="SFQ1" s="293"/>
      <c r="SFR1" s="293"/>
      <c r="SFS1" s="293"/>
      <c r="SFT1" s="293"/>
      <c r="SFU1" s="293"/>
      <c r="SFV1" s="293"/>
      <c r="SFW1" s="293"/>
      <c r="SFX1" s="293"/>
      <c r="SFY1" s="293"/>
      <c r="SFZ1" s="293"/>
      <c r="SGA1" s="293"/>
      <c r="SGB1" s="293"/>
      <c r="SGC1" s="293"/>
      <c r="SGD1" s="293"/>
      <c r="SGE1" s="293"/>
      <c r="SGF1" s="293"/>
      <c r="SGG1" s="293"/>
      <c r="SGH1" s="293"/>
      <c r="SGI1" s="293"/>
      <c r="SGJ1" s="293"/>
      <c r="SGK1" s="293"/>
      <c r="SGL1" s="293"/>
      <c r="SGM1" s="293"/>
      <c r="SGN1" s="293"/>
      <c r="SGO1" s="293"/>
      <c r="SGP1" s="293"/>
      <c r="SGQ1" s="293"/>
      <c r="SGR1" s="293"/>
      <c r="SGS1" s="293"/>
      <c r="SGT1" s="293"/>
      <c r="SGU1" s="293"/>
      <c r="SGV1" s="293"/>
      <c r="SGW1" s="293"/>
      <c r="SGX1" s="293"/>
      <c r="SGY1" s="293"/>
      <c r="SGZ1" s="293"/>
      <c r="SHA1" s="293"/>
      <c r="SHB1" s="293"/>
      <c r="SHC1" s="293"/>
      <c r="SHD1" s="293"/>
      <c r="SHE1" s="293"/>
      <c r="SHF1" s="293"/>
      <c r="SHG1" s="293"/>
      <c r="SHH1" s="293"/>
      <c r="SHI1" s="293"/>
      <c r="SHJ1" s="293"/>
      <c r="SHK1" s="293"/>
      <c r="SHL1" s="293"/>
      <c r="SHM1" s="293"/>
      <c r="SHN1" s="293"/>
      <c r="SHO1" s="293"/>
      <c r="SHP1" s="293"/>
      <c r="SHQ1" s="293"/>
      <c r="SHR1" s="293"/>
      <c r="SHS1" s="293"/>
      <c r="SHT1" s="293"/>
      <c r="SHU1" s="293"/>
      <c r="SHV1" s="293"/>
      <c r="SHW1" s="293"/>
      <c r="SHX1" s="293"/>
      <c r="SHY1" s="293"/>
      <c r="SHZ1" s="293"/>
      <c r="SIA1" s="293"/>
      <c r="SIB1" s="293"/>
      <c r="SIC1" s="293"/>
      <c r="SID1" s="293"/>
      <c r="SIE1" s="293"/>
      <c r="SIF1" s="293"/>
      <c r="SIG1" s="293"/>
      <c r="SIH1" s="293"/>
      <c r="SII1" s="293"/>
      <c r="SIJ1" s="293"/>
      <c r="SIK1" s="293"/>
      <c r="SIL1" s="293"/>
      <c r="SIM1" s="293"/>
      <c r="SIN1" s="293"/>
      <c r="SIO1" s="293"/>
      <c r="SIP1" s="293"/>
      <c r="SIQ1" s="293"/>
      <c r="SIR1" s="293"/>
      <c r="SIS1" s="293"/>
      <c r="SIT1" s="293"/>
      <c r="SIU1" s="293"/>
      <c r="SIV1" s="293"/>
      <c r="SIW1" s="293"/>
      <c r="SIX1" s="293"/>
      <c r="SIY1" s="293"/>
      <c r="SIZ1" s="293"/>
      <c r="SJA1" s="293"/>
      <c r="SJB1" s="293"/>
      <c r="SJC1" s="293"/>
      <c r="SJD1" s="293"/>
      <c r="SJE1" s="293"/>
      <c r="SJF1" s="293"/>
      <c r="SJG1" s="293"/>
      <c r="SJH1" s="293"/>
      <c r="SJI1" s="293"/>
      <c r="SJJ1" s="293"/>
      <c r="SJK1" s="293"/>
      <c r="SJL1" s="293"/>
      <c r="SJM1" s="293"/>
      <c r="SJN1" s="293"/>
      <c r="SJO1" s="293"/>
      <c r="SJP1" s="293"/>
      <c r="SJQ1" s="293"/>
      <c r="SJR1" s="293"/>
      <c r="SJS1" s="293"/>
      <c r="SJT1" s="293"/>
      <c r="SJU1" s="293"/>
      <c r="SJV1" s="293"/>
      <c r="SJW1" s="293"/>
      <c r="SJX1" s="293"/>
      <c r="SJY1" s="293"/>
      <c r="SJZ1" s="293"/>
      <c r="SKA1" s="293"/>
      <c r="SKB1" s="293"/>
      <c r="SKC1" s="293"/>
      <c r="SKD1" s="293"/>
      <c r="SKE1" s="293"/>
      <c r="SKF1" s="293"/>
      <c r="SKG1" s="293"/>
      <c r="SKH1" s="293"/>
      <c r="SKI1" s="293"/>
      <c r="SKJ1" s="293"/>
      <c r="SKK1" s="293"/>
      <c r="SKL1" s="293"/>
      <c r="SKM1" s="293"/>
      <c r="SKN1" s="293"/>
      <c r="SKO1" s="293"/>
      <c r="SKP1" s="293"/>
      <c r="SKQ1" s="293"/>
      <c r="SKR1" s="293"/>
      <c r="SKS1" s="293"/>
      <c r="SKT1" s="293"/>
      <c r="SKU1" s="293"/>
      <c r="SKV1" s="293"/>
      <c r="SKW1" s="293"/>
      <c r="SKX1" s="293"/>
      <c r="SKY1" s="293"/>
      <c r="SKZ1" s="293"/>
      <c r="SLA1" s="293"/>
      <c r="SLB1" s="293"/>
      <c r="SLC1" s="293"/>
      <c r="SLD1" s="293"/>
      <c r="SLE1" s="293"/>
      <c r="SLF1" s="293"/>
      <c r="SLG1" s="293"/>
      <c r="SLH1" s="293"/>
      <c r="SLI1" s="293"/>
      <c r="SLJ1" s="293"/>
      <c r="SLK1" s="293"/>
      <c r="SLL1" s="293"/>
      <c r="SLM1" s="293"/>
      <c r="SLN1" s="293"/>
      <c r="SLO1" s="293"/>
      <c r="SLP1" s="293"/>
      <c r="SLQ1" s="293"/>
      <c r="SLR1" s="293"/>
      <c r="SLS1" s="293"/>
      <c r="SLT1" s="293"/>
      <c r="SLU1" s="293"/>
      <c r="SLV1" s="293"/>
      <c r="SLW1" s="293"/>
      <c r="SLX1" s="293"/>
      <c r="SLY1" s="293"/>
      <c r="SLZ1" s="293"/>
      <c r="SMA1" s="293"/>
      <c r="SMB1" s="293"/>
      <c r="SMC1" s="293"/>
      <c r="SMD1" s="293"/>
      <c r="SME1" s="293"/>
      <c r="SMF1" s="293"/>
      <c r="SMG1" s="293"/>
      <c r="SMH1" s="293"/>
      <c r="SMI1" s="293"/>
      <c r="SMJ1" s="293"/>
      <c r="SMK1" s="293"/>
      <c r="SML1" s="293"/>
      <c r="SMM1" s="293"/>
      <c r="SMN1" s="293"/>
      <c r="SMO1" s="293"/>
      <c r="SMP1" s="293"/>
      <c r="SMQ1" s="293"/>
      <c r="SMR1" s="293"/>
      <c r="SMS1" s="293"/>
      <c r="SMT1" s="293"/>
      <c r="SMU1" s="293"/>
      <c r="SMV1" s="293"/>
      <c r="SMW1" s="293"/>
      <c r="SMX1" s="293"/>
      <c r="SMY1" s="293"/>
      <c r="SMZ1" s="293"/>
      <c r="SNA1" s="293"/>
      <c r="SNB1" s="293"/>
      <c r="SNC1" s="293"/>
      <c r="SND1" s="293"/>
      <c r="SNE1" s="293"/>
      <c r="SNF1" s="293"/>
      <c r="SNG1" s="293"/>
      <c r="SNH1" s="293"/>
      <c r="SNI1" s="293"/>
      <c r="SNJ1" s="293"/>
      <c r="SNK1" s="293"/>
      <c r="SNL1" s="293"/>
      <c r="SNM1" s="293"/>
      <c r="SNN1" s="293"/>
      <c r="SNO1" s="293"/>
      <c r="SNP1" s="293"/>
      <c r="SNQ1" s="293"/>
      <c r="SNR1" s="293"/>
      <c r="SNS1" s="293"/>
      <c r="SNT1" s="293"/>
      <c r="SNU1" s="293"/>
      <c r="SNV1" s="293"/>
      <c r="SNW1" s="293"/>
      <c r="SNX1" s="293"/>
      <c r="SNY1" s="293"/>
      <c r="SNZ1" s="293"/>
      <c r="SOA1" s="293"/>
      <c r="SOB1" s="293"/>
      <c r="SOC1" s="293"/>
      <c r="SOD1" s="293"/>
      <c r="SOE1" s="293"/>
      <c r="SOF1" s="293"/>
      <c r="SOG1" s="293"/>
      <c r="SOH1" s="293"/>
      <c r="SOI1" s="293"/>
      <c r="SOJ1" s="293"/>
      <c r="SOK1" s="293"/>
      <c r="SOL1" s="293"/>
      <c r="SOM1" s="293"/>
      <c r="SON1" s="293"/>
      <c r="SOO1" s="293"/>
      <c r="SOP1" s="293"/>
      <c r="SOQ1" s="293"/>
      <c r="SOR1" s="293"/>
      <c r="SOS1" s="293"/>
      <c r="SOT1" s="293"/>
      <c r="SOU1" s="293"/>
      <c r="SOV1" s="293"/>
      <c r="SOW1" s="293"/>
      <c r="SOX1" s="293"/>
      <c r="SOY1" s="293"/>
      <c r="SOZ1" s="293"/>
      <c r="SPA1" s="293"/>
      <c r="SPB1" s="293"/>
      <c r="SPC1" s="293"/>
      <c r="SPD1" s="293"/>
      <c r="SPE1" s="293"/>
      <c r="SPF1" s="293"/>
      <c r="SPG1" s="293"/>
      <c r="SPH1" s="293"/>
      <c r="SPI1" s="293"/>
      <c r="SPJ1" s="293"/>
      <c r="SPK1" s="293"/>
      <c r="SPL1" s="293"/>
      <c r="SPM1" s="293"/>
      <c r="SPN1" s="293"/>
      <c r="SPO1" s="293"/>
      <c r="SPP1" s="293"/>
      <c r="SPQ1" s="293"/>
      <c r="SPR1" s="293"/>
      <c r="SPS1" s="293"/>
      <c r="SPT1" s="293"/>
      <c r="SPU1" s="293"/>
      <c r="SPV1" s="293"/>
      <c r="SPW1" s="293"/>
      <c r="SPX1" s="293"/>
      <c r="SPY1" s="293"/>
      <c r="SPZ1" s="293"/>
      <c r="SQA1" s="293"/>
      <c r="SQB1" s="293"/>
      <c r="SQC1" s="293"/>
      <c r="SQD1" s="293"/>
      <c r="SQE1" s="293"/>
      <c r="SQF1" s="293"/>
      <c r="SQG1" s="293"/>
      <c r="SQH1" s="293"/>
      <c r="SQI1" s="293"/>
      <c r="SQJ1" s="293"/>
      <c r="SQK1" s="293"/>
      <c r="SQL1" s="293"/>
      <c r="SQM1" s="293"/>
      <c r="SQN1" s="293"/>
      <c r="SQO1" s="293"/>
      <c r="SQP1" s="293"/>
      <c r="SQQ1" s="293"/>
      <c r="SQR1" s="293"/>
      <c r="SQS1" s="293"/>
      <c r="SQT1" s="293"/>
      <c r="SQU1" s="293"/>
      <c r="SQV1" s="293"/>
      <c r="SQW1" s="293"/>
      <c r="SQX1" s="293"/>
      <c r="SQY1" s="293"/>
      <c r="SQZ1" s="293"/>
      <c r="SRA1" s="293"/>
      <c r="SRB1" s="293"/>
      <c r="SRC1" s="293"/>
      <c r="SRD1" s="293"/>
      <c r="SRE1" s="293"/>
      <c r="SRF1" s="293"/>
      <c r="SRG1" s="293"/>
      <c r="SRH1" s="293"/>
      <c r="SRI1" s="293"/>
      <c r="SRJ1" s="293"/>
      <c r="SRK1" s="293"/>
      <c r="SRL1" s="293"/>
      <c r="SRM1" s="293"/>
      <c r="SRN1" s="293"/>
      <c r="SRO1" s="293"/>
      <c r="SRP1" s="293"/>
      <c r="SRQ1" s="293"/>
      <c r="SRR1" s="293"/>
      <c r="SRS1" s="293"/>
      <c r="SRT1" s="293"/>
      <c r="SRU1" s="293"/>
      <c r="SRV1" s="293"/>
      <c r="SRW1" s="293"/>
      <c r="SRX1" s="293"/>
      <c r="SRY1" s="293"/>
      <c r="SRZ1" s="293"/>
      <c r="SSA1" s="293"/>
      <c r="SSB1" s="293"/>
      <c r="SSC1" s="293"/>
      <c r="SSD1" s="293"/>
      <c r="SSE1" s="293"/>
      <c r="SSF1" s="293"/>
      <c r="SSG1" s="293"/>
      <c r="SSH1" s="293"/>
      <c r="SSI1" s="293"/>
      <c r="SSJ1" s="293"/>
      <c r="SSK1" s="293"/>
      <c r="SSL1" s="293"/>
      <c r="SSM1" s="293"/>
      <c r="SSN1" s="293"/>
      <c r="SSO1" s="293"/>
      <c r="SSP1" s="293"/>
      <c r="SSQ1" s="293"/>
      <c r="SSR1" s="293"/>
      <c r="SSS1" s="293"/>
      <c r="SST1" s="293"/>
      <c r="SSU1" s="293"/>
      <c r="SSV1" s="293"/>
      <c r="SSW1" s="293"/>
      <c r="SSX1" s="293"/>
      <c r="SSY1" s="293"/>
      <c r="SSZ1" s="293"/>
      <c r="STA1" s="293"/>
      <c r="STB1" s="293"/>
      <c r="STC1" s="293"/>
      <c r="STD1" s="293"/>
      <c r="STE1" s="293"/>
      <c r="STF1" s="293"/>
      <c r="STG1" s="293"/>
      <c r="STH1" s="293"/>
      <c r="STI1" s="293"/>
      <c r="STJ1" s="293"/>
      <c r="STK1" s="293"/>
      <c r="STL1" s="293"/>
      <c r="STM1" s="293"/>
      <c r="STN1" s="293"/>
      <c r="STO1" s="293"/>
      <c r="STP1" s="293"/>
      <c r="STQ1" s="293"/>
      <c r="STR1" s="293"/>
      <c r="STS1" s="293"/>
      <c r="STT1" s="293"/>
      <c r="STU1" s="293"/>
      <c r="STV1" s="293"/>
      <c r="STW1" s="293"/>
      <c r="STX1" s="293"/>
      <c r="STY1" s="293"/>
      <c r="STZ1" s="293"/>
      <c r="SUA1" s="293"/>
      <c r="SUB1" s="293"/>
      <c r="SUC1" s="293"/>
      <c r="SUD1" s="293"/>
      <c r="SUE1" s="293"/>
      <c r="SUF1" s="293"/>
      <c r="SUG1" s="293"/>
      <c r="SUH1" s="293"/>
      <c r="SUI1" s="293"/>
      <c r="SUJ1" s="293"/>
      <c r="SUK1" s="293"/>
      <c r="SUL1" s="293"/>
      <c r="SUM1" s="293"/>
      <c r="SUN1" s="293"/>
      <c r="SUO1" s="293"/>
      <c r="SUP1" s="293"/>
      <c r="SUQ1" s="293"/>
      <c r="SUR1" s="293"/>
      <c r="SUS1" s="293"/>
      <c r="SUT1" s="293"/>
      <c r="SUU1" s="293"/>
      <c r="SUV1" s="293"/>
      <c r="SUW1" s="293"/>
      <c r="SUX1" s="293"/>
      <c r="SUY1" s="293"/>
      <c r="SUZ1" s="293"/>
      <c r="SVA1" s="293"/>
      <c r="SVB1" s="293"/>
      <c r="SVC1" s="293"/>
      <c r="SVD1" s="293"/>
      <c r="SVE1" s="293"/>
      <c r="SVF1" s="293"/>
      <c r="SVG1" s="293"/>
      <c r="SVH1" s="293"/>
      <c r="SVI1" s="293"/>
      <c r="SVJ1" s="293"/>
      <c r="SVK1" s="293"/>
      <c r="SVL1" s="293"/>
      <c r="SVM1" s="293"/>
      <c r="SVN1" s="293"/>
      <c r="SVO1" s="293"/>
      <c r="SVP1" s="293"/>
      <c r="SVQ1" s="293"/>
      <c r="SVR1" s="293"/>
      <c r="SVS1" s="293"/>
      <c r="SVT1" s="293"/>
      <c r="SVU1" s="293"/>
      <c r="SVV1" s="293"/>
      <c r="SVW1" s="293"/>
      <c r="SVX1" s="293"/>
      <c r="SVY1" s="293"/>
      <c r="SVZ1" s="293"/>
      <c r="SWA1" s="293"/>
      <c r="SWB1" s="293"/>
      <c r="SWC1" s="293"/>
      <c r="SWD1" s="293"/>
      <c r="SWE1" s="293"/>
      <c r="SWF1" s="293"/>
      <c r="SWG1" s="293"/>
      <c r="SWH1" s="293"/>
      <c r="SWI1" s="293"/>
      <c r="SWJ1" s="293"/>
      <c r="SWK1" s="293"/>
      <c r="SWL1" s="293"/>
      <c r="SWM1" s="293"/>
      <c r="SWN1" s="293"/>
      <c r="SWO1" s="293"/>
      <c r="SWP1" s="293"/>
      <c r="SWQ1" s="293"/>
      <c r="SWR1" s="293"/>
      <c r="SWS1" s="293"/>
      <c r="SWT1" s="293"/>
      <c r="SWU1" s="293"/>
      <c r="SWV1" s="293"/>
      <c r="SWW1" s="293"/>
      <c r="SWX1" s="293"/>
      <c r="SWY1" s="293"/>
      <c r="SWZ1" s="293"/>
      <c r="SXA1" s="293"/>
      <c r="SXB1" s="293"/>
      <c r="SXC1" s="293"/>
      <c r="SXD1" s="293"/>
      <c r="SXE1" s="293"/>
      <c r="SXF1" s="293"/>
      <c r="SXG1" s="293"/>
      <c r="SXH1" s="293"/>
      <c r="SXI1" s="293"/>
      <c r="SXJ1" s="293"/>
      <c r="SXK1" s="293"/>
      <c r="SXL1" s="293"/>
      <c r="SXM1" s="293"/>
      <c r="SXN1" s="293"/>
      <c r="SXO1" s="293"/>
      <c r="SXP1" s="293"/>
      <c r="SXQ1" s="293"/>
      <c r="SXR1" s="293"/>
      <c r="SXS1" s="293"/>
      <c r="SXT1" s="293"/>
      <c r="SXU1" s="293"/>
      <c r="SXV1" s="293"/>
      <c r="SXW1" s="293"/>
      <c r="SXX1" s="293"/>
      <c r="SXY1" s="293"/>
      <c r="SXZ1" s="293"/>
      <c r="SYA1" s="293"/>
      <c r="SYB1" s="293"/>
      <c r="SYC1" s="293"/>
      <c r="SYD1" s="293"/>
      <c r="SYE1" s="293"/>
      <c r="SYF1" s="293"/>
      <c r="SYG1" s="293"/>
      <c r="SYH1" s="293"/>
      <c r="SYI1" s="293"/>
      <c r="SYJ1" s="293"/>
      <c r="SYK1" s="293"/>
      <c r="SYL1" s="293"/>
      <c r="SYM1" s="293"/>
      <c r="SYN1" s="293"/>
      <c r="SYO1" s="293"/>
      <c r="SYP1" s="293"/>
      <c r="SYQ1" s="293"/>
      <c r="SYR1" s="293"/>
      <c r="SYS1" s="293"/>
      <c r="SYT1" s="293"/>
      <c r="SYU1" s="293"/>
      <c r="SYV1" s="293"/>
      <c r="SYW1" s="293"/>
      <c r="SYX1" s="293"/>
      <c r="SYY1" s="293"/>
      <c r="SYZ1" s="293"/>
      <c r="SZA1" s="293"/>
      <c r="SZB1" s="293"/>
      <c r="SZC1" s="293"/>
      <c r="SZD1" s="293"/>
      <c r="SZE1" s="293"/>
      <c r="SZF1" s="293"/>
      <c r="SZG1" s="293"/>
      <c r="SZH1" s="293"/>
      <c r="SZI1" s="293"/>
      <c r="SZJ1" s="293"/>
      <c r="SZK1" s="293"/>
      <c r="SZL1" s="293"/>
      <c r="SZM1" s="293"/>
      <c r="SZN1" s="293"/>
      <c r="SZO1" s="293"/>
      <c r="SZP1" s="293"/>
      <c r="SZQ1" s="293"/>
      <c r="SZR1" s="293"/>
      <c r="SZS1" s="293"/>
      <c r="SZT1" s="293"/>
      <c r="SZU1" s="293"/>
      <c r="SZV1" s="293"/>
      <c r="SZW1" s="293"/>
      <c r="SZX1" s="293"/>
      <c r="SZY1" s="293"/>
      <c r="SZZ1" s="293"/>
      <c r="TAA1" s="293"/>
      <c r="TAB1" s="293"/>
      <c r="TAC1" s="293"/>
      <c r="TAD1" s="293"/>
      <c r="TAE1" s="293"/>
      <c r="TAF1" s="293"/>
      <c r="TAG1" s="293"/>
      <c r="TAH1" s="293"/>
      <c r="TAI1" s="293"/>
      <c r="TAJ1" s="293"/>
      <c r="TAK1" s="293"/>
      <c r="TAL1" s="293"/>
      <c r="TAM1" s="293"/>
      <c r="TAN1" s="293"/>
      <c r="TAO1" s="293"/>
      <c r="TAP1" s="293"/>
      <c r="TAQ1" s="293"/>
      <c r="TAR1" s="293"/>
      <c r="TAS1" s="293"/>
      <c r="TAT1" s="293"/>
      <c r="TAU1" s="293"/>
      <c r="TAV1" s="293"/>
      <c r="TAW1" s="293"/>
      <c r="TAX1" s="293"/>
      <c r="TAY1" s="293"/>
      <c r="TAZ1" s="293"/>
      <c r="TBA1" s="293"/>
      <c r="TBB1" s="293"/>
      <c r="TBC1" s="293"/>
      <c r="TBD1" s="293"/>
      <c r="TBE1" s="293"/>
      <c r="TBF1" s="293"/>
      <c r="TBG1" s="293"/>
      <c r="TBH1" s="293"/>
      <c r="TBI1" s="293"/>
      <c r="TBJ1" s="293"/>
      <c r="TBK1" s="293"/>
      <c r="TBL1" s="293"/>
      <c r="TBM1" s="293"/>
      <c r="TBN1" s="293"/>
      <c r="TBO1" s="293"/>
      <c r="TBP1" s="293"/>
      <c r="TBQ1" s="293"/>
      <c r="TBR1" s="293"/>
      <c r="TBS1" s="293"/>
      <c r="TBT1" s="293"/>
      <c r="TBU1" s="293"/>
      <c r="TBV1" s="293"/>
      <c r="TBW1" s="293"/>
      <c r="TBX1" s="293"/>
      <c r="TBY1" s="293"/>
      <c r="TBZ1" s="293"/>
      <c r="TCA1" s="293"/>
      <c r="TCB1" s="293"/>
      <c r="TCC1" s="293"/>
      <c r="TCD1" s="293"/>
      <c r="TCE1" s="293"/>
      <c r="TCF1" s="293"/>
      <c r="TCG1" s="293"/>
      <c r="TCH1" s="293"/>
      <c r="TCI1" s="293"/>
      <c r="TCJ1" s="293"/>
      <c r="TCK1" s="293"/>
      <c r="TCL1" s="293"/>
      <c r="TCM1" s="293"/>
      <c r="TCN1" s="293"/>
      <c r="TCO1" s="293"/>
      <c r="TCP1" s="293"/>
      <c r="TCQ1" s="293"/>
      <c r="TCR1" s="293"/>
      <c r="TCS1" s="293"/>
      <c r="TCT1" s="293"/>
      <c r="TCU1" s="293"/>
      <c r="TCV1" s="293"/>
      <c r="TCW1" s="293"/>
      <c r="TCX1" s="293"/>
      <c r="TCY1" s="293"/>
      <c r="TCZ1" s="293"/>
      <c r="TDA1" s="293"/>
      <c r="TDB1" s="293"/>
      <c r="TDC1" s="293"/>
      <c r="TDD1" s="293"/>
      <c r="TDE1" s="293"/>
      <c r="TDF1" s="293"/>
      <c r="TDG1" s="293"/>
      <c r="TDH1" s="293"/>
      <c r="TDI1" s="293"/>
      <c r="TDJ1" s="293"/>
      <c r="TDK1" s="293"/>
      <c r="TDL1" s="293"/>
      <c r="TDM1" s="293"/>
      <c r="TDN1" s="293"/>
      <c r="TDO1" s="293"/>
      <c r="TDP1" s="293"/>
      <c r="TDQ1" s="293"/>
      <c r="TDR1" s="293"/>
      <c r="TDS1" s="293"/>
      <c r="TDT1" s="293"/>
      <c r="TDU1" s="293"/>
      <c r="TDV1" s="293"/>
      <c r="TDW1" s="293"/>
      <c r="TDX1" s="293"/>
      <c r="TDY1" s="293"/>
      <c r="TDZ1" s="293"/>
      <c r="TEA1" s="293"/>
      <c r="TEB1" s="293"/>
      <c r="TEC1" s="293"/>
      <c r="TED1" s="293"/>
      <c r="TEE1" s="293"/>
      <c r="TEF1" s="293"/>
      <c r="TEG1" s="293"/>
      <c r="TEH1" s="293"/>
      <c r="TEI1" s="293"/>
      <c r="TEJ1" s="293"/>
      <c r="TEK1" s="293"/>
      <c r="TEL1" s="293"/>
      <c r="TEM1" s="293"/>
      <c r="TEN1" s="293"/>
      <c r="TEO1" s="293"/>
      <c r="TEP1" s="293"/>
      <c r="TEQ1" s="293"/>
      <c r="TER1" s="293"/>
      <c r="TES1" s="293"/>
      <c r="TET1" s="293"/>
      <c r="TEU1" s="293"/>
      <c r="TEV1" s="293"/>
      <c r="TEW1" s="293"/>
      <c r="TEX1" s="293"/>
      <c r="TEY1" s="293"/>
      <c r="TEZ1" s="293"/>
      <c r="TFA1" s="293"/>
      <c r="TFB1" s="293"/>
      <c r="TFC1" s="293"/>
      <c r="TFD1" s="293"/>
      <c r="TFE1" s="293"/>
      <c r="TFF1" s="293"/>
      <c r="TFG1" s="293"/>
      <c r="TFH1" s="293"/>
      <c r="TFI1" s="293"/>
      <c r="TFJ1" s="293"/>
      <c r="TFK1" s="293"/>
      <c r="TFL1" s="293"/>
      <c r="TFM1" s="293"/>
      <c r="TFN1" s="293"/>
      <c r="TFO1" s="293"/>
      <c r="TFP1" s="293"/>
      <c r="TFQ1" s="293"/>
      <c r="TFR1" s="293"/>
      <c r="TFS1" s="293"/>
      <c r="TFT1" s="293"/>
      <c r="TFU1" s="293"/>
      <c r="TFV1" s="293"/>
      <c r="TFW1" s="293"/>
      <c r="TFX1" s="293"/>
      <c r="TFY1" s="293"/>
      <c r="TFZ1" s="293"/>
      <c r="TGA1" s="293"/>
      <c r="TGB1" s="293"/>
      <c r="TGC1" s="293"/>
      <c r="TGD1" s="293"/>
      <c r="TGE1" s="293"/>
      <c r="TGF1" s="293"/>
      <c r="TGG1" s="293"/>
      <c r="TGH1" s="293"/>
      <c r="TGI1" s="293"/>
      <c r="TGJ1" s="293"/>
      <c r="TGK1" s="293"/>
      <c r="TGL1" s="293"/>
      <c r="TGM1" s="293"/>
      <c r="TGN1" s="293"/>
      <c r="TGO1" s="293"/>
      <c r="TGP1" s="293"/>
      <c r="TGQ1" s="293"/>
      <c r="TGR1" s="293"/>
      <c r="TGS1" s="293"/>
      <c r="TGT1" s="293"/>
      <c r="TGU1" s="293"/>
      <c r="TGV1" s="293"/>
      <c r="TGW1" s="293"/>
      <c r="TGX1" s="293"/>
      <c r="TGY1" s="293"/>
      <c r="TGZ1" s="293"/>
      <c r="THA1" s="293"/>
      <c r="THB1" s="293"/>
      <c r="THC1" s="293"/>
      <c r="THD1" s="293"/>
      <c r="THE1" s="293"/>
      <c r="THF1" s="293"/>
      <c r="THG1" s="293"/>
      <c r="THH1" s="293"/>
      <c r="THI1" s="293"/>
      <c r="THJ1" s="293"/>
      <c r="THK1" s="293"/>
      <c r="THL1" s="293"/>
      <c r="THM1" s="293"/>
      <c r="THN1" s="293"/>
      <c r="THO1" s="293"/>
      <c r="THP1" s="293"/>
      <c r="THQ1" s="293"/>
      <c r="THR1" s="293"/>
      <c r="THS1" s="293"/>
      <c r="THT1" s="293"/>
      <c r="THU1" s="293"/>
      <c r="THV1" s="293"/>
      <c r="THW1" s="293"/>
      <c r="THX1" s="293"/>
      <c r="THY1" s="293"/>
      <c r="THZ1" s="293"/>
      <c r="TIA1" s="293"/>
      <c r="TIB1" s="293"/>
      <c r="TIC1" s="293"/>
      <c r="TID1" s="293"/>
      <c r="TIE1" s="293"/>
      <c r="TIF1" s="293"/>
      <c r="TIG1" s="293"/>
      <c r="TIH1" s="293"/>
      <c r="TII1" s="293"/>
      <c r="TIJ1" s="293"/>
      <c r="TIK1" s="293"/>
      <c r="TIL1" s="293"/>
      <c r="TIM1" s="293"/>
      <c r="TIN1" s="293"/>
      <c r="TIO1" s="293"/>
      <c r="TIP1" s="293"/>
      <c r="TIQ1" s="293"/>
      <c r="TIR1" s="293"/>
      <c r="TIS1" s="293"/>
      <c r="TIT1" s="293"/>
      <c r="TIU1" s="293"/>
      <c r="TIV1" s="293"/>
      <c r="TIW1" s="293"/>
      <c r="TIX1" s="293"/>
      <c r="TIY1" s="293"/>
      <c r="TIZ1" s="293"/>
      <c r="TJA1" s="293"/>
      <c r="TJB1" s="293"/>
      <c r="TJC1" s="293"/>
      <c r="TJD1" s="293"/>
      <c r="TJE1" s="293"/>
      <c r="TJF1" s="293"/>
      <c r="TJG1" s="293"/>
      <c r="TJH1" s="293"/>
      <c r="TJI1" s="293"/>
      <c r="TJJ1" s="293"/>
      <c r="TJK1" s="293"/>
      <c r="TJL1" s="293"/>
      <c r="TJM1" s="293"/>
      <c r="TJN1" s="293"/>
      <c r="TJO1" s="293"/>
      <c r="TJP1" s="293"/>
      <c r="TJQ1" s="293"/>
      <c r="TJR1" s="293"/>
      <c r="TJS1" s="293"/>
      <c r="TJT1" s="293"/>
      <c r="TJU1" s="293"/>
      <c r="TJV1" s="293"/>
      <c r="TJW1" s="293"/>
      <c r="TJX1" s="293"/>
      <c r="TJY1" s="293"/>
      <c r="TJZ1" s="293"/>
      <c r="TKA1" s="293"/>
      <c r="TKB1" s="293"/>
      <c r="TKC1" s="293"/>
      <c r="TKD1" s="293"/>
      <c r="TKE1" s="293"/>
      <c r="TKF1" s="293"/>
      <c r="TKG1" s="293"/>
      <c r="TKH1" s="293"/>
      <c r="TKI1" s="293"/>
      <c r="TKJ1" s="293"/>
      <c r="TKK1" s="293"/>
      <c r="TKL1" s="293"/>
      <c r="TKM1" s="293"/>
      <c r="TKN1" s="293"/>
      <c r="TKO1" s="293"/>
      <c r="TKP1" s="293"/>
      <c r="TKQ1" s="293"/>
      <c r="TKR1" s="293"/>
      <c r="TKS1" s="293"/>
      <c r="TKT1" s="293"/>
      <c r="TKU1" s="293"/>
      <c r="TKV1" s="293"/>
      <c r="TKW1" s="293"/>
      <c r="TKX1" s="293"/>
      <c r="TKY1" s="293"/>
      <c r="TKZ1" s="293"/>
      <c r="TLA1" s="293"/>
      <c r="TLB1" s="293"/>
      <c r="TLC1" s="293"/>
      <c r="TLD1" s="293"/>
      <c r="TLE1" s="293"/>
      <c r="TLF1" s="293"/>
      <c r="TLG1" s="293"/>
      <c r="TLH1" s="293"/>
      <c r="TLI1" s="293"/>
      <c r="TLJ1" s="293"/>
      <c r="TLK1" s="293"/>
      <c r="TLL1" s="293"/>
      <c r="TLM1" s="293"/>
      <c r="TLN1" s="293"/>
      <c r="TLO1" s="293"/>
      <c r="TLP1" s="293"/>
      <c r="TLQ1" s="293"/>
      <c r="TLR1" s="293"/>
      <c r="TLS1" s="293"/>
      <c r="TLT1" s="293"/>
      <c r="TLU1" s="293"/>
      <c r="TLV1" s="293"/>
      <c r="TLW1" s="293"/>
      <c r="TLX1" s="293"/>
      <c r="TLY1" s="293"/>
      <c r="TLZ1" s="293"/>
      <c r="TMA1" s="293"/>
      <c r="TMB1" s="293"/>
      <c r="TMC1" s="293"/>
      <c r="TMD1" s="293"/>
      <c r="TME1" s="293"/>
      <c r="TMF1" s="293"/>
      <c r="TMG1" s="293"/>
      <c r="TMH1" s="293"/>
      <c r="TMI1" s="293"/>
      <c r="TMJ1" s="293"/>
      <c r="TMK1" s="293"/>
      <c r="TML1" s="293"/>
      <c r="TMM1" s="293"/>
      <c r="TMN1" s="293"/>
      <c r="TMO1" s="293"/>
      <c r="TMP1" s="293"/>
      <c r="TMQ1" s="293"/>
      <c r="TMR1" s="293"/>
      <c r="TMS1" s="293"/>
      <c r="TMT1" s="293"/>
      <c r="TMU1" s="293"/>
      <c r="TMV1" s="293"/>
      <c r="TMW1" s="293"/>
      <c r="TMX1" s="293"/>
      <c r="TMY1" s="293"/>
      <c r="TMZ1" s="293"/>
      <c r="TNA1" s="293"/>
      <c r="TNB1" s="293"/>
      <c r="TNC1" s="293"/>
      <c r="TND1" s="293"/>
      <c r="TNE1" s="293"/>
      <c r="TNF1" s="293"/>
      <c r="TNG1" s="293"/>
      <c r="TNH1" s="293"/>
      <c r="TNI1" s="293"/>
      <c r="TNJ1" s="293"/>
      <c r="TNK1" s="293"/>
      <c r="TNL1" s="293"/>
      <c r="TNM1" s="293"/>
      <c r="TNN1" s="293"/>
      <c r="TNO1" s="293"/>
      <c r="TNP1" s="293"/>
      <c r="TNQ1" s="293"/>
      <c r="TNR1" s="293"/>
      <c r="TNS1" s="293"/>
      <c r="TNT1" s="293"/>
      <c r="TNU1" s="293"/>
      <c r="TNV1" s="293"/>
      <c r="TNW1" s="293"/>
      <c r="TNX1" s="293"/>
      <c r="TNY1" s="293"/>
      <c r="TNZ1" s="293"/>
      <c r="TOA1" s="293"/>
      <c r="TOB1" s="293"/>
      <c r="TOC1" s="293"/>
      <c r="TOD1" s="293"/>
      <c r="TOE1" s="293"/>
      <c r="TOF1" s="293"/>
      <c r="TOG1" s="293"/>
      <c r="TOH1" s="293"/>
      <c r="TOI1" s="293"/>
      <c r="TOJ1" s="293"/>
      <c r="TOK1" s="293"/>
      <c r="TOL1" s="293"/>
      <c r="TOM1" s="293"/>
      <c r="TON1" s="293"/>
      <c r="TOO1" s="293"/>
      <c r="TOP1" s="293"/>
      <c r="TOQ1" s="293"/>
      <c r="TOR1" s="293"/>
      <c r="TOS1" s="293"/>
      <c r="TOT1" s="293"/>
      <c r="TOU1" s="293"/>
      <c r="TOV1" s="293"/>
      <c r="TOW1" s="293"/>
      <c r="TOX1" s="293"/>
      <c r="TOY1" s="293"/>
      <c r="TOZ1" s="293"/>
      <c r="TPA1" s="293"/>
      <c r="TPB1" s="293"/>
      <c r="TPC1" s="293"/>
      <c r="TPD1" s="293"/>
      <c r="TPE1" s="293"/>
      <c r="TPF1" s="293"/>
      <c r="TPG1" s="293"/>
      <c r="TPH1" s="293"/>
      <c r="TPI1" s="293"/>
      <c r="TPJ1" s="293"/>
      <c r="TPK1" s="293"/>
      <c r="TPL1" s="293"/>
      <c r="TPM1" s="293"/>
      <c r="TPN1" s="293"/>
      <c r="TPO1" s="293"/>
      <c r="TPP1" s="293"/>
      <c r="TPQ1" s="293"/>
      <c r="TPR1" s="293"/>
      <c r="TPS1" s="293"/>
      <c r="TPT1" s="293"/>
      <c r="TPU1" s="293"/>
      <c r="TPV1" s="293"/>
      <c r="TPW1" s="293"/>
      <c r="TPX1" s="293"/>
      <c r="TPY1" s="293"/>
      <c r="TPZ1" s="293"/>
      <c r="TQA1" s="293"/>
      <c r="TQB1" s="293"/>
      <c r="TQC1" s="293"/>
      <c r="TQD1" s="293"/>
      <c r="TQE1" s="293"/>
      <c r="TQF1" s="293"/>
      <c r="TQG1" s="293"/>
      <c r="TQH1" s="293"/>
      <c r="TQI1" s="293"/>
      <c r="TQJ1" s="293"/>
      <c r="TQK1" s="293"/>
      <c r="TQL1" s="293"/>
      <c r="TQM1" s="293"/>
      <c r="TQN1" s="293"/>
      <c r="TQO1" s="293"/>
      <c r="TQP1" s="293"/>
      <c r="TQQ1" s="293"/>
      <c r="TQR1" s="293"/>
      <c r="TQS1" s="293"/>
      <c r="TQT1" s="293"/>
      <c r="TQU1" s="293"/>
      <c r="TQV1" s="293"/>
      <c r="TQW1" s="293"/>
      <c r="TQX1" s="293"/>
      <c r="TQY1" s="293"/>
      <c r="TQZ1" s="293"/>
      <c r="TRA1" s="293"/>
      <c r="TRB1" s="293"/>
      <c r="TRC1" s="293"/>
      <c r="TRD1" s="293"/>
      <c r="TRE1" s="293"/>
      <c r="TRF1" s="293"/>
      <c r="TRG1" s="293"/>
      <c r="TRH1" s="293"/>
      <c r="TRI1" s="293"/>
      <c r="TRJ1" s="293"/>
      <c r="TRK1" s="293"/>
      <c r="TRL1" s="293"/>
      <c r="TRM1" s="293"/>
      <c r="TRN1" s="293"/>
      <c r="TRO1" s="293"/>
      <c r="TRP1" s="293"/>
      <c r="TRQ1" s="293"/>
      <c r="TRR1" s="293"/>
      <c r="TRS1" s="293"/>
      <c r="TRT1" s="293"/>
      <c r="TRU1" s="293"/>
      <c r="TRV1" s="293"/>
      <c r="TRW1" s="293"/>
      <c r="TRX1" s="293"/>
      <c r="TRY1" s="293"/>
      <c r="TRZ1" s="293"/>
      <c r="TSA1" s="293"/>
      <c r="TSB1" s="293"/>
      <c r="TSC1" s="293"/>
      <c r="TSD1" s="293"/>
      <c r="TSE1" s="293"/>
      <c r="TSF1" s="293"/>
      <c r="TSG1" s="293"/>
      <c r="TSH1" s="293"/>
      <c r="TSI1" s="293"/>
      <c r="TSJ1" s="293"/>
      <c r="TSK1" s="293"/>
      <c r="TSL1" s="293"/>
      <c r="TSM1" s="293"/>
      <c r="TSN1" s="293"/>
      <c r="TSO1" s="293"/>
      <c r="TSP1" s="293"/>
      <c r="TSQ1" s="293"/>
      <c r="TSR1" s="293"/>
      <c r="TSS1" s="293"/>
      <c r="TST1" s="293"/>
      <c r="TSU1" s="293"/>
      <c r="TSV1" s="293"/>
      <c r="TSW1" s="293"/>
      <c r="TSX1" s="293"/>
      <c r="TSY1" s="293"/>
      <c r="TSZ1" s="293"/>
      <c r="TTA1" s="293"/>
      <c r="TTB1" s="293"/>
      <c r="TTC1" s="293"/>
      <c r="TTD1" s="293"/>
      <c r="TTE1" s="293"/>
      <c r="TTF1" s="293"/>
      <c r="TTG1" s="293"/>
      <c r="TTH1" s="293"/>
      <c r="TTI1" s="293"/>
      <c r="TTJ1" s="293"/>
      <c r="TTK1" s="293"/>
      <c r="TTL1" s="293"/>
      <c r="TTM1" s="293"/>
      <c r="TTN1" s="293"/>
      <c r="TTO1" s="293"/>
      <c r="TTP1" s="293"/>
      <c r="TTQ1" s="293"/>
      <c r="TTR1" s="293"/>
      <c r="TTS1" s="293"/>
      <c r="TTT1" s="293"/>
      <c r="TTU1" s="293"/>
      <c r="TTV1" s="293"/>
      <c r="TTW1" s="293"/>
      <c r="TTX1" s="293"/>
      <c r="TTY1" s="293"/>
      <c r="TTZ1" s="293"/>
      <c r="TUA1" s="293"/>
      <c r="TUB1" s="293"/>
      <c r="TUC1" s="293"/>
      <c r="TUD1" s="293"/>
      <c r="TUE1" s="293"/>
      <c r="TUF1" s="293"/>
      <c r="TUG1" s="293"/>
      <c r="TUH1" s="293"/>
      <c r="TUI1" s="293"/>
      <c r="TUJ1" s="293"/>
      <c r="TUK1" s="293"/>
      <c r="TUL1" s="293"/>
      <c r="TUM1" s="293"/>
      <c r="TUN1" s="293"/>
      <c r="TUO1" s="293"/>
      <c r="TUP1" s="293"/>
      <c r="TUQ1" s="293"/>
      <c r="TUR1" s="293"/>
      <c r="TUS1" s="293"/>
      <c r="TUT1" s="293"/>
      <c r="TUU1" s="293"/>
      <c r="TUV1" s="293"/>
      <c r="TUW1" s="293"/>
      <c r="TUX1" s="293"/>
      <c r="TUY1" s="293"/>
      <c r="TUZ1" s="293"/>
      <c r="TVA1" s="293"/>
      <c r="TVB1" s="293"/>
      <c r="TVC1" s="293"/>
      <c r="TVD1" s="293"/>
      <c r="TVE1" s="293"/>
      <c r="TVF1" s="293"/>
      <c r="TVG1" s="293"/>
      <c r="TVH1" s="293"/>
      <c r="TVI1" s="293"/>
      <c r="TVJ1" s="293"/>
      <c r="TVK1" s="293"/>
      <c r="TVL1" s="293"/>
      <c r="TVM1" s="293"/>
      <c r="TVN1" s="293"/>
      <c r="TVO1" s="293"/>
      <c r="TVP1" s="293"/>
      <c r="TVQ1" s="293"/>
      <c r="TVR1" s="293"/>
      <c r="TVS1" s="293"/>
      <c r="TVT1" s="293"/>
      <c r="TVU1" s="293"/>
      <c r="TVV1" s="293"/>
      <c r="TVW1" s="293"/>
      <c r="TVX1" s="293"/>
      <c r="TVY1" s="293"/>
      <c r="TVZ1" s="293"/>
      <c r="TWA1" s="293"/>
      <c r="TWB1" s="293"/>
      <c r="TWC1" s="293"/>
      <c r="TWD1" s="293"/>
      <c r="TWE1" s="293"/>
      <c r="TWF1" s="293"/>
      <c r="TWG1" s="293"/>
      <c r="TWH1" s="293"/>
      <c r="TWI1" s="293"/>
      <c r="TWJ1" s="293"/>
      <c r="TWK1" s="293"/>
      <c r="TWL1" s="293"/>
      <c r="TWM1" s="293"/>
      <c r="TWN1" s="293"/>
      <c r="TWO1" s="293"/>
      <c r="TWP1" s="293"/>
      <c r="TWQ1" s="293"/>
      <c r="TWR1" s="293"/>
      <c r="TWS1" s="293"/>
      <c r="TWT1" s="293"/>
      <c r="TWU1" s="293"/>
      <c r="TWV1" s="293"/>
      <c r="TWW1" s="293"/>
      <c r="TWX1" s="293"/>
      <c r="TWY1" s="293"/>
      <c r="TWZ1" s="293"/>
      <c r="TXA1" s="293"/>
      <c r="TXB1" s="293"/>
      <c r="TXC1" s="293"/>
      <c r="TXD1" s="293"/>
      <c r="TXE1" s="293"/>
      <c r="TXF1" s="293"/>
      <c r="TXG1" s="293"/>
      <c r="TXH1" s="293"/>
      <c r="TXI1" s="293"/>
      <c r="TXJ1" s="293"/>
      <c r="TXK1" s="293"/>
      <c r="TXL1" s="293"/>
      <c r="TXM1" s="293"/>
      <c r="TXN1" s="293"/>
      <c r="TXO1" s="293"/>
      <c r="TXP1" s="293"/>
      <c r="TXQ1" s="293"/>
      <c r="TXR1" s="293"/>
      <c r="TXS1" s="293"/>
      <c r="TXT1" s="293"/>
      <c r="TXU1" s="293"/>
      <c r="TXV1" s="293"/>
      <c r="TXW1" s="293"/>
      <c r="TXX1" s="293"/>
      <c r="TXY1" s="293"/>
      <c r="TXZ1" s="293"/>
      <c r="TYA1" s="293"/>
      <c r="TYB1" s="293"/>
      <c r="TYC1" s="293"/>
      <c r="TYD1" s="293"/>
      <c r="TYE1" s="293"/>
      <c r="TYF1" s="293"/>
      <c r="TYG1" s="293"/>
      <c r="TYH1" s="293"/>
      <c r="TYI1" s="293"/>
      <c r="TYJ1" s="293"/>
      <c r="TYK1" s="293"/>
      <c r="TYL1" s="293"/>
      <c r="TYM1" s="293"/>
      <c r="TYN1" s="293"/>
      <c r="TYO1" s="293"/>
      <c r="TYP1" s="293"/>
      <c r="TYQ1" s="293"/>
      <c r="TYR1" s="293"/>
      <c r="TYS1" s="293"/>
      <c r="TYT1" s="293"/>
      <c r="TYU1" s="293"/>
      <c r="TYV1" s="293"/>
      <c r="TYW1" s="293"/>
      <c r="TYX1" s="293"/>
      <c r="TYY1" s="293"/>
      <c r="TYZ1" s="293"/>
      <c r="TZA1" s="293"/>
      <c r="TZB1" s="293"/>
      <c r="TZC1" s="293"/>
      <c r="TZD1" s="293"/>
      <c r="TZE1" s="293"/>
      <c r="TZF1" s="293"/>
      <c r="TZG1" s="293"/>
      <c r="TZH1" s="293"/>
      <c r="TZI1" s="293"/>
      <c r="TZJ1" s="293"/>
      <c r="TZK1" s="293"/>
      <c r="TZL1" s="293"/>
      <c r="TZM1" s="293"/>
      <c r="TZN1" s="293"/>
      <c r="TZO1" s="293"/>
      <c r="TZP1" s="293"/>
      <c r="TZQ1" s="293"/>
      <c r="TZR1" s="293"/>
      <c r="TZS1" s="293"/>
      <c r="TZT1" s="293"/>
      <c r="TZU1" s="293"/>
      <c r="TZV1" s="293"/>
      <c r="TZW1" s="293"/>
      <c r="TZX1" s="293"/>
      <c r="TZY1" s="293"/>
      <c r="TZZ1" s="293"/>
      <c r="UAA1" s="293"/>
      <c r="UAB1" s="293"/>
      <c r="UAC1" s="293"/>
      <c r="UAD1" s="293"/>
      <c r="UAE1" s="293"/>
      <c r="UAF1" s="293"/>
      <c r="UAG1" s="293"/>
      <c r="UAH1" s="293"/>
      <c r="UAI1" s="293"/>
      <c r="UAJ1" s="293"/>
      <c r="UAK1" s="293"/>
      <c r="UAL1" s="293"/>
      <c r="UAM1" s="293"/>
      <c r="UAN1" s="293"/>
      <c r="UAO1" s="293"/>
      <c r="UAP1" s="293"/>
      <c r="UAQ1" s="293"/>
      <c r="UAR1" s="293"/>
      <c r="UAS1" s="293"/>
      <c r="UAT1" s="293"/>
      <c r="UAU1" s="293"/>
      <c r="UAV1" s="293"/>
      <c r="UAW1" s="293"/>
      <c r="UAX1" s="293"/>
      <c r="UAY1" s="293"/>
      <c r="UAZ1" s="293"/>
      <c r="UBA1" s="293"/>
      <c r="UBB1" s="293"/>
      <c r="UBC1" s="293"/>
      <c r="UBD1" s="293"/>
      <c r="UBE1" s="293"/>
      <c r="UBF1" s="293"/>
      <c r="UBG1" s="293"/>
      <c r="UBH1" s="293"/>
      <c r="UBI1" s="293"/>
      <c r="UBJ1" s="293"/>
      <c r="UBK1" s="293"/>
      <c r="UBL1" s="293"/>
      <c r="UBM1" s="293"/>
      <c r="UBN1" s="293"/>
      <c r="UBO1" s="293"/>
      <c r="UBP1" s="293"/>
      <c r="UBQ1" s="293"/>
      <c r="UBR1" s="293"/>
      <c r="UBS1" s="293"/>
      <c r="UBT1" s="293"/>
      <c r="UBU1" s="293"/>
      <c r="UBV1" s="293"/>
      <c r="UBW1" s="293"/>
      <c r="UBX1" s="293"/>
      <c r="UBY1" s="293"/>
      <c r="UBZ1" s="293"/>
      <c r="UCA1" s="293"/>
      <c r="UCB1" s="293"/>
      <c r="UCC1" s="293"/>
      <c r="UCD1" s="293"/>
      <c r="UCE1" s="293"/>
      <c r="UCF1" s="293"/>
      <c r="UCG1" s="293"/>
      <c r="UCH1" s="293"/>
      <c r="UCI1" s="293"/>
      <c r="UCJ1" s="293"/>
      <c r="UCK1" s="293"/>
      <c r="UCL1" s="293"/>
      <c r="UCM1" s="293"/>
      <c r="UCN1" s="293"/>
      <c r="UCO1" s="293"/>
      <c r="UCP1" s="293"/>
      <c r="UCQ1" s="293"/>
      <c r="UCR1" s="293"/>
      <c r="UCS1" s="293"/>
      <c r="UCT1" s="293"/>
      <c r="UCU1" s="293"/>
      <c r="UCV1" s="293"/>
      <c r="UCW1" s="293"/>
      <c r="UCX1" s="293"/>
      <c r="UCY1" s="293"/>
      <c r="UCZ1" s="293"/>
      <c r="UDA1" s="293"/>
      <c r="UDB1" s="293"/>
      <c r="UDC1" s="293"/>
      <c r="UDD1" s="293"/>
      <c r="UDE1" s="293"/>
      <c r="UDF1" s="293"/>
      <c r="UDG1" s="293"/>
      <c r="UDH1" s="293"/>
      <c r="UDI1" s="293"/>
      <c r="UDJ1" s="293"/>
      <c r="UDK1" s="293"/>
      <c r="UDL1" s="293"/>
      <c r="UDM1" s="293"/>
      <c r="UDN1" s="293"/>
      <c r="UDO1" s="293"/>
      <c r="UDP1" s="293"/>
      <c r="UDQ1" s="293"/>
      <c r="UDR1" s="293"/>
      <c r="UDS1" s="293"/>
      <c r="UDT1" s="293"/>
      <c r="UDU1" s="293"/>
      <c r="UDV1" s="293"/>
      <c r="UDW1" s="293"/>
      <c r="UDX1" s="293"/>
      <c r="UDY1" s="293"/>
      <c r="UDZ1" s="293"/>
      <c r="UEA1" s="293"/>
      <c r="UEB1" s="293"/>
      <c r="UEC1" s="293"/>
      <c r="UED1" s="293"/>
      <c r="UEE1" s="293"/>
      <c r="UEF1" s="293"/>
      <c r="UEG1" s="293"/>
      <c r="UEH1" s="293"/>
      <c r="UEI1" s="293"/>
      <c r="UEJ1" s="293"/>
      <c r="UEK1" s="293"/>
      <c r="UEL1" s="293"/>
      <c r="UEM1" s="293"/>
      <c r="UEN1" s="293"/>
      <c r="UEO1" s="293"/>
      <c r="UEP1" s="293"/>
      <c r="UEQ1" s="293"/>
      <c r="UER1" s="293"/>
      <c r="UES1" s="293"/>
      <c r="UET1" s="293"/>
      <c r="UEU1" s="293"/>
      <c r="UEV1" s="293"/>
      <c r="UEW1" s="293"/>
      <c r="UEX1" s="293"/>
      <c r="UEY1" s="293"/>
      <c r="UEZ1" s="293"/>
      <c r="UFA1" s="293"/>
      <c r="UFB1" s="293"/>
      <c r="UFC1" s="293"/>
      <c r="UFD1" s="293"/>
      <c r="UFE1" s="293"/>
      <c r="UFF1" s="293"/>
      <c r="UFG1" s="293"/>
      <c r="UFH1" s="293"/>
      <c r="UFI1" s="293"/>
      <c r="UFJ1" s="293"/>
      <c r="UFK1" s="293"/>
      <c r="UFL1" s="293"/>
      <c r="UFM1" s="293"/>
      <c r="UFN1" s="293"/>
      <c r="UFO1" s="293"/>
      <c r="UFP1" s="293"/>
      <c r="UFQ1" s="293"/>
      <c r="UFR1" s="293"/>
      <c r="UFS1" s="293"/>
      <c r="UFT1" s="293"/>
      <c r="UFU1" s="293"/>
      <c r="UFV1" s="293"/>
      <c r="UFW1" s="293"/>
      <c r="UFX1" s="293"/>
      <c r="UFY1" s="293"/>
      <c r="UFZ1" s="293"/>
      <c r="UGA1" s="293"/>
      <c r="UGB1" s="293"/>
      <c r="UGC1" s="293"/>
      <c r="UGD1" s="293"/>
      <c r="UGE1" s="293"/>
      <c r="UGF1" s="293"/>
      <c r="UGG1" s="293"/>
      <c r="UGH1" s="293"/>
      <c r="UGI1" s="293"/>
      <c r="UGJ1" s="293"/>
      <c r="UGK1" s="293"/>
      <c r="UGL1" s="293"/>
      <c r="UGM1" s="293"/>
      <c r="UGN1" s="293"/>
      <c r="UGO1" s="293"/>
      <c r="UGP1" s="293"/>
      <c r="UGQ1" s="293"/>
      <c r="UGR1" s="293"/>
      <c r="UGS1" s="293"/>
      <c r="UGT1" s="293"/>
      <c r="UGU1" s="293"/>
      <c r="UGV1" s="293"/>
      <c r="UGW1" s="293"/>
      <c r="UGX1" s="293"/>
      <c r="UGY1" s="293"/>
      <c r="UGZ1" s="293"/>
      <c r="UHA1" s="293"/>
      <c r="UHB1" s="293"/>
      <c r="UHC1" s="293"/>
      <c r="UHD1" s="293"/>
      <c r="UHE1" s="293"/>
      <c r="UHF1" s="293"/>
      <c r="UHG1" s="293"/>
      <c r="UHH1" s="293"/>
      <c r="UHI1" s="293"/>
      <c r="UHJ1" s="293"/>
      <c r="UHK1" s="293"/>
      <c r="UHL1" s="293"/>
      <c r="UHM1" s="293"/>
      <c r="UHN1" s="293"/>
      <c r="UHO1" s="293"/>
      <c r="UHP1" s="293"/>
      <c r="UHQ1" s="293"/>
      <c r="UHR1" s="293"/>
      <c r="UHS1" s="293"/>
      <c r="UHT1" s="293"/>
      <c r="UHU1" s="293"/>
      <c r="UHV1" s="293"/>
      <c r="UHW1" s="293"/>
      <c r="UHX1" s="293"/>
      <c r="UHY1" s="293"/>
      <c r="UHZ1" s="293"/>
      <c r="UIA1" s="293"/>
      <c r="UIB1" s="293"/>
      <c r="UIC1" s="293"/>
      <c r="UID1" s="293"/>
      <c r="UIE1" s="293"/>
      <c r="UIF1" s="293"/>
      <c r="UIG1" s="293"/>
      <c r="UIH1" s="293"/>
      <c r="UII1" s="293"/>
      <c r="UIJ1" s="293"/>
      <c r="UIK1" s="293"/>
      <c r="UIL1" s="293"/>
      <c r="UIM1" s="293"/>
      <c r="UIN1" s="293"/>
      <c r="UIO1" s="293"/>
      <c r="UIP1" s="293"/>
      <c r="UIQ1" s="293"/>
      <c r="UIR1" s="293"/>
      <c r="UIS1" s="293"/>
      <c r="UIT1" s="293"/>
      <c r="UIU1" s="293"/>
      <c r="UIV1" s="293"/>
      <c r="UIW1" s="293"/>
      <c r="UIX1" s="293"/>
      <c r="UIY1" s="293"/>
      <c r="UIZ1" s="293"/>
      <c r="UJA1" s="293"/>
      <c r="UJB1" s="293"/>
      <c r="UJC1" s="293"/>
      <c r="UJD1" s="293"/>
      <c r="UJE1" s="293"/>
      <c r="UJF1" s="293"/>
      <c r="UJG1" s="293"/>
      <c r="UJH1" s="293"/>
      <c r="UJI1" s="293"/>
      <c r="UJJ1" s="293"/>
      <c r="UJK1" s="293"/>
      <c r="UJL1" s="293"/>
      <c r="UJM1" s="293"/>
      <c r="UJN1" s="293"/>
      <c r="UJO1" s="293"/>
      <c r="UJP1" s="293"/>
      <c r="UJQ1" s="293"/>
      <c r="UJR1" s="293"/>
      <c r="UJS1" s="293"/>
      <c r="UJT1" s="293"/>
      <c r="UJU1" s="293"/>
      <c r="UJV1" s="293"/>
      <c r="UJW1" s="293"/>
      <c r="UJX1" s="293"/>
      <c r="UJY1" s="293"/>
      <c r="UJZ1" s="293"/>
      <c r="UKA1" s="293"/>
      <c r="UKB1" s="293"/>
      <c r="UKC1" s="293"/>
      <c r="UKD1" s="293"/>
      <c r="UKE1" s="293"/>
      <c r="UKF1" s="293"/>
      <c r="UKG1" s="293"/>
      <c r="UKH1" s="293"/>
      <c r="UKI1" s="293"/>
      <c r="UKJ1" s="293"/>
      <c r="UKK1" s="293"/>
      <c r="UKL1" s="293"/>
      <c r="UKM1" s="293"/>
      <c r="UKN1" s="293"/>
      <c r="UKO1" s="293"/>
      <c r="UKP1" s="293"/>
      <c r="UKQ1" s="293"/>
      <c r="UKR1" s="293"/>
      <c r="UKS1" s="293"/>
      <c r="UKT1" s="293"/>
      <c r="UKU1" s="293"/>
      <c r="UKV1" s="293"/>
      <c r="UKW1" s="293"/>
      <c r="UKX1" s="293"/>
      <c r="UKY1" s="293"/>
      <c r="UKZ1" s="293"/>
      <c r="ULA1" s="293"/>
      <c r="ULB1" s="293"/>
      <c r="ULC1" s="293"/>
      <c r="ULD1" s="293"/>
      <c r="ULE1" s="293"/>
      <c r="ULF1" s="293"/>
      <c r="ULG1" s="293"/>
      <c r="ULH1" s="293"/>
      <c r="ULI1" s="293"/>
      <c r="ULJ1" s="293"/>
      <c r="ULK1" s="293"/>
      <c r="ULL1" s="293"/>
      <c r="ULM1" s="293"/>
      <c r="ULN1" s="293"/>
      <c r="ULO1" s="293"/>
      <c r="ULP1" s="293"/>
      <c r="ULQ1" s="293"/>
      <c r="ULR1" s="293"/>
      <c r="ULS1" s="293"/>
      <c r="ULT1" s="293"/>
      <c r="ULU1" s="293"/>
      <c r="ULV1" s="293"/>
      <c r="ULW1" s="293"/>
      <c r="ULX1" s="293"/>
      <c r="ULY1" s="293"/>
      <c r="ULZ1" s="293"/>
      <c r="UMA1" s="293"/>
      <c r="UMB1" s="293"/>
      <c r="UMC1" s="293"/>
      <c r="UMD1" s="293"/>
      <c r="UME1" s="293"/>
      <c r="UMF1" s="293"/>
      <c r="UMG1" s="293"/>
      <c r="UMH1" s="293"/>
      <c r="UMI1" s="293"/>
      <c r="UMJ1" s="293"/>
      <c r="UMK1" s="293"/>
      <c r="UML1" s="293"/>
      <c r="UMM1" s="293"/>
      <c r="UMN1" s="293"/>
      <c r="UMO1" s="293"/>
      <c r="UMP1" s="293"/>
      <c r="UMQ1" s="293"/>
      <c r="UMR1" s="293"/>
      <c r="UMS1" s="293"/>
      <c r="UMT1" s="293"/>
      <c r="UMU1" s="293"/>
      <c r="UMV1" s="293"/>
      <c r="UMW1" s="293"/>
      <c r="UMX1" s="293"/>
      <c r="UMY1" s="293"/>
      <c r="UMZ1" s="293"/>
      <c r="UNA1" s="293"/>
      <c r="UNB1" s="293"/>
      <c r="UNC1" s="293"/>
      <c r="UND1" s="293"/>
      <c r="UNE1" s="293"/>
      <c r="UNF1" s="293"/>
      <c r="UNG1" s="293"/>
      <c r="UNH1" s="293"/>
      <c r="UNI1" s="293"/>
      <c r="UNJ1" s="293"/>
      <c r="UNK1" s="293"/>
      <c r="UNL1" s="293"/>
      <c r="UNM1" s="293"/>
      <c r="UNN1" s="293"/>
      <c r="UNO1" s="293"/>
      <c r="UNP1" s="293"/>
      <c r="UNQ1" s="293"/>
      <c r="UNR1" s="293"/>
      <c r="UNS1" s="293"/>
      <c r="UNT1" s="293"/>
      <c r="UNU1" s="293"/>
      <c r="UNV1" s="293"/>
      <c r="UNW1" s="293"/>
      <c r="UNX1" s="293"/>
      <c r="UNY1" s="293"/>
      <c r="UNZ1" s="293"/>
      <c r="UOA1" s="293"/>
      <c r="UOB1" s="293"/>
      <c r="UOC1" s="293"/>
      <c r="UOD1" s="293"/>
      <c r="UOE1" s="293"/>
      <c r="UOF1" s="293"/>
      <c r="UOG1" s="293"/>
      <c r="UOH1" s="293"/>
      <c r="UOI1" s="293"/>
      <c r="UOJ1" s="293"/>
      <c r="UOK1" s="293"/>
      <c r="UOL1" s="293"/>
      <c r="UOM1" s="293"/>
      <c r="UON1" s="293"/>
      <c r="UOO1" s="293"/>
      <c r="UOP1" s="293"/>
      <c r="UOQ1" s="293"/>
      <c r="UOR1" s="293"/>
      <c r="UOS1" s="293"/>
      <c r="UOT1" s="293"/>
      <c r="UOU1" s="293"/>
      <c r="UOV1" s="293"/>
      <c r="UOW1" s="293"/>
      <c r="UOX1" s="293"/>
      <c r="UOY1" s="293"/>
      <c r="UOZ1" s="293"/>
      <c r="UPA1" s="293"/>
      <c r="UPB1" s="293"/>
      <c r="UPC1" s="293"/>
      <c r="UPD1" s="293"/>
      <c r="UPE1" s="293"/>
      <c r="UPF1" s="293"/>
      <c r="UPG1" s="293"/>
      <c r="UPH1" s="293"/>
      <c r="UPI1" s="293"/>
      <c r="UPJ1" s="293"/>
      <c r="UPK1" s="293"/>
      <c r="UPL1" s="293"/>
      <c r="UPM1" s="293"/>
      <c r="UPN1" s="293"/>
      <c r="UPO1" s="293"/>
      <c r="UPP1" s="293"/>
      <c r="UPQ1" s="293"/>
      <c r="UPR1" s="293"/>
      <c r="UPS1" s="293"/>
      <c r="UPT1" s="293"/>
      <c r="UPU1" s="293"/>
      <c r="UPV1" s="293"/>
      <c r="UPW1" s="293"/>
      <c r="UPX1" s="293"/>
      <c r="UPY1" s="293"/>
      <c r="UPZ1" s="293"/>
      <c r="UQA1" s="293"/>
      <c r="UQB1" s="293"/>
      <c r="UQC1" s="293"/>
      <c r="UQD1" s="293"/>
      <c r="UQE1" s="293"/>
      <c r="UQF1" s="293"/>
      <c r="UQG1" s="293"/>
      <c r="UQH1" s="293"/>
      <c r="UQI1" s="293"/>
      <c r="UQJ1" s="293"/>
      <c r="UQK1" s="293"/>
      <c r="UQL1" s="293"/>
      <c r="UQM1" s="293"/>
      <c r="UQN1" s="293"/>
      <c r="UQO1" s="293"/>
      <c r="UQP1" s="293"/>
      <c r="UQQ1" s="293"/>
      <c r="UQR1" s="293"/>
      <c r="UQS1" s="293"/>
      <c r="UQT1" s="293"/>
      <c r="UQU1" s="293"/>
      <c r="UQV1" s="293"/>
      <c r="UQW1" s="293"/>
      <c r="UQX1" s="293"/>
      <c r="UQY1" s="293"/>
      <c r="UQZ1" s="293"/>
      <c r="URA1" s="293"/>
      <c r="URB1" s="293"/>
      <c r="URC1" s="293"/>
      <c r="URD1" s="293"/>
      <c r="URE1" s="293"/>
      <c r="URF1" s="293"/>
      <c r="URG1" s="293"/>
      <c r="URH1" s="293"/>
      <c r="URI1" s="293"/>
      <c r="URJ1" s="293"/>
      <c r="URK1" s="293"/>
      <c r="URL1" s="293"/>
      <c r="URM1" s="293"/>
      <c r="URN1" s="293"/>
      <c r="URO1" s="293"/>
      <c r="URP1" s="293"/>
      <c r="URQ1" s="293"/>
      <c r="URR1" s="293"/>
      <c r="URS1" s="293"/>
      <c r="URT1" s="293"/>
      <c r="URU1" s="293"/>
      <c r="URV1" s="293"/>
      <c r="URW1" s="293"/>
      <c r="URX1" s="293"/>
      <c r="URY1" s="293"/>
      <c r="URZ1" s="293"/>
      <c r="USA1" s="293"/>
      <c r="USB1" s="293"/>
      <c r="USC1" s="293"/>
      <c r="USD1" s="293"/>
      <c r="USE1" s="293"/>
      <c r="USF1" s="293"/>
      <c r="USG1" s="293"/>
      <c r="USH1" s="293"/>
      <c r="USI1" s="293"/>
      <c r="USJ1" s="293"/>
      <c r="USK1" s="293"/>
      <c r="USL1" s="293"/>
      <c r="USM1" s="293"/>
      <c r="USN1" s="293"/>
      <c r="USO1" s="293"/>
      <c r="USP1" s="293"/>
      <c r="USQ1" s="293"/>
      <c r="USR1" s="293"/>
      <c r="USS1" s="293"/>
      <c r="UST1" s="293"/>
      <c r="USU1" s="293"/>
      <c r="USV1" s="293"/>
      <c r="USW1" s="293"/>
      <c r="USX1" s="293"/>
      <c r="USY1" s="293"/>
      <c r="USZ1" s="293"/>
      <c r="UTA1" s="293"/>
      <c r="UTB1" s="293"/>
      <c r="UTC1" s="293"/>
      <c r="UTD1" s="293"/>
      <c r="UTE1" s="293"/>
      <c r="UTF1" s="293"/>
      <c r="UTG1" s="293"/>
      <c r="UTH1" s="293"/>
      <c r="UTI1" s="293"/>
      <c r="UTJ1" s="293"/>
      <c r="UTK1" s="293"/>
      <c r="UTL1" s="293"/>
      <c r="UTM1" s="293"/>
      <c r="UTN1" s="293"/>
      <c r="UTO1" s="293"/>
      <c r="UTP1" s="293"/>
      <c r="UTQ1" s="293"/>
      <c r="UTR1" s="293"/>
      <c r="UTS1" s="293"/>
      <c r="UTT1" s="293"/>
      <c r="UTU1" s="293"/>
      <c r="UTV1" s="293"/>
      <c r="UTW1" s="293"/>
      <c r="UTX1" s="293"/>
      <c r="UTY1" s="293"/>
      <c r="UTZ1" s="293"/>
      <c r="UUA1" s="293"/>
      <c r="UUB1" s="293"/>
      <c r="UUC1" s="293"/>
      <c r="UUD1" s="293"/>
      <c r="UUE1" s="293"/>
      <c r="UUF1" s="293"/>
      <c r="UUG1" s="293"/>
      <c r="UUH1" s="293"/>
      <c r="UUI1" s="293"/>
      <c r="UUJ1" s="293"/>
      <c r="UUK1" s="293"/>
      <c r="UUL1" s="293"/>
      <c r="UUM1" s="293"/>
      <c r="UUN1" s="293"/>
      <c r="UUO1" s="293"/>
      <c r="UUP1" s="293"/>
      <c r="UUQ1" s="293"/>
      <c r="UUR1" s="293"/>
      <c r="UUS1" s="293"/>
      <c r="UUT1" s="293"/>
      <c r="UUU1" s="293"/>
      <c r="UUV1" s="293"/>
      <c r="UUW1" s="293"/>
      <c r="UUX1" s="293"/>
      <c r="UUY1" s="293"/>
      <c r="UUZ1" s="293"/>
      <c r="UVA1" s="293"/>
      <c r="UVB1" s="293"/>
      <c r="UVC1" s="293"/>
      <c r="UVD1" s="293"/>
      <c r="UVE1" s="293"/>
      <c r="UVF1" s="293"/>
      <c r="UVG1" s="293"/>
      <c r="UVH1" s="293"/>
      <c r="UVI1" s="293"/>
      <c r="UVJ1" s="293"/>
      <c r="UVK1" s="293"/>
      <c r="UVL1" s="293"/>
      <c r="UVM1" s="293"/>
      <c r="UVN1" s="293"/>
      <c r="UVO1" s="293"/>
      <c r="UVP1" s="293"/>
      <c r="UVQ1" s="293"/>
      <c r="UVR1" s="293"/>
      <c r="UVS1" s="293"/>
      <c r="UVT1" s="293"/>
      <c r="UVU1" s="293"/>
      <c r="UVV1" s="293"/>
      <c r="UVW1" s="293"/>
      <c r="UVX1" s="293"/>
      <c r="UVY1" s="293"/>
      <c r="UVZ1" s="293"/>
      <c r="UWA1" s="293"/>
      <c r="UWB1" s="293"/>
      <c r="UWC1" s="293"/>
      <c r="UWD1" s="293"/>
      <c r="UWE1" s="293"/>
      <c r="UWF1" s="293"/>
      <c r="UWG1" s="293"/>
      <c r="UWH1" s="293"/>
      <c r="UWI1" s="293"/>
      <c r="UWJ1" s="293"/>
      <c r="UWK1" s="293"/>
      <c r="UWL1" s="293"/>
      <c r="UWM1" s="293"/>
      <c r="UWN1" s="293"/>
      <c r="UWO1" s="293"/>
      <c r="UWP1" s="293"/>
      <c r="UWQ1" s="293"/>
      <c r="UWR1" s="293"/>
      <c r="UWS1" s="293"/>
      <c r="UWT1" s="293"/>
      <c r="UWU1" s="293"/>
      <c r="UWV1" s="293"/>
      <c r="UWW1" s="293"/>
      <c r="UWX1" s="293"/>
      <c r="UWY1" s="293"/>
      <c r="UWZ1" s="293"/>
      <c r="UXA1" s="293"/>
      <c r="UXB1" s="293"/>
      <c r="UXC1" s="293"/>
      <c r="UXD1" s="293"/>
      <c r="UXE1" s="293"/>
      <c r="UXF1" s="293"/>
      <c r="UXG1" s="293"/>
      <c r="UXH1" s="293"/>
      <c r="UXI1" s="293"/>
      <c r="UXJ1" s="293"/>
      <c r="UXK1" s="293"/>
      <c r="UXL1" s="293"/>
      <c r="UXM1" s="293"/>
      <c r="UXN1" s="293"/>
      <c r="UXO1" s="293"/>
      <c r="UXP1" s="293"/>
      <c r="UXQ1" s="293"/>
      <c r="UXR1" s="293"/>
      <c r="UXS1" s="293"/>
      <c r="UXT1" s="293"/>
      <c r="UXU1" s="293"/>
      <c r="UXV1" s="293"/>
      <c r="UXW1" s="293"/>
      <c r="UXX1" s="293"/>
      <c r="UXY1" s="293"/>
      <c r="UXZ1" s="293"/>
      <c r="UYA1" s="293"/>
      <c r="UYB1" s="293"/>
      <c r="UYC1" s="293"/>
      <c r="UYD1" s="293"/>
      <c r="UYE1" s="293"/>
      <c r="UYF1" s="293"/>
      <c r="UYG1" s="293"/>
      <c r="UYH1" s="293"/>
      <c r="UYI1" s="293"/>
      <c r="UYJ1" s="293"/>
      <c r="UYK1" s="293"/>
      <c r="UYL1" s="293"/>
      <c r="UYM1" s="293"/>
      <c r="UYN1" s="293"/>
      <c r="UYO1" s="293"/>
      <c r="UYP1" s="293"/>
      <c r="UYQ1" s="293"/>
      <c r="UYR1" s="293"/>
      <c r="UYS1" s="293"/>
      <c r="UYT1" s="293"/>
      <c r="UYU1" s="293"/>
      <c r="UYV1" s="293"/>
      <c r="UYW1" s="293"/>
      <c r="UYX1" s="293"/>
      <c r="UYY1" s="293"/>
      <c r="UYZ1" s="293"/>
      <c r="UZA1" s="293"/>
      <c r="UZB1" s="293"/>
      <c r="UZC1" s="293"/>
      <c r="UZD1" s="293"/>
      <c r="UZE1" s="293"/>
      <c r="UZF1" s="293"/>
      <c r="UZG1" s="293"/>
      <c r="UZH1" s="293"/>
      <c r="UZI1" s="293"/>
      <c r="UZJ1" s="293"/>
      <c r="UZK1" s="293"/>
      <c r="UZL1" s="293"/>
      <c r="UZM1" s="293"/>
      <c r="UZN1" s="293"/>
      <c r="UZO1" s="293"/>
      <c r="UZP1" s="293"/>
      <c r="UZQ1" s="293"/>
      <c r="UZR1" s="293"/>
      <c r="UZS1" s="293"/>
      <c r="UZT1" s="293"/>
      <c r="UZU1" s="293"/>
      <c r="UZV1" s="293"/>
      <c r="UZW1" s="293"/>
      <c r="UZX1" s="293"/>
      <c r="UZY1" s="293"/>
      <c r="UZZ1" s="293"/>
      <c r="VAA1" s="293"/>
      <c r="VAB1" s="293"/>
      <c r="VAC1" s="293"/>
      <c r="VAD1" s="293"/>
      <c r="VAE1" s="293"/>
      <c r="VAF1" s="293"/>
      <c r="VAG1" s="293"/>
      <c r="VAH1" s="293"/>
      <c r="VAI1" s="293"/>
      <c r="VAJ1" s="293"/>
      <c r="VAK1" s="293"/>
      <c r="VAL1" s="293"/>
      <c r="VAM1" s="293"/>
      <c r="VAN1" s="293"/>
      <c r="VAO1" s="293"/>
      <c r="VAP1" s="293"/>
      <c r="VAQ1" s="293"/>
      <c r="VAR1" s="293"/>
      <c r="VAS1" s="293"/>
      <c r="VAT1" s="293"/>
      <c r="VAU1" s="293"/>
      <c r="VAV1" s="293"/>
      <c r="VAW1" s="293"/>
      <c r="VAX1" s="293"/>
      <c r="VAY1" s="293"/>
      <c r="VAZ1" s="293"/>
      <c r="VBA1" s="293"/>
      <c r="VBB1" s="293"/>
      <c r="VBC1" s="293"/>
      <c r="VBD1" s="293"/>
      <c r="VBE1" s="293"/>
      <c r="VBF1" s="293"/>
      <c r="VBG1" s="293"/>
      <c r="VBH1" s="293"/>
      <c r="VBI1" s="293"/>
      <c r="VBJ1" s="293"/>
      <c r="VBK1" s="293"/>
      <c r="VBL1" s="293"/>
      <c r="VBM1" s="293"/>
      <c r="VBN1" s="293"/>
      <c r="VBO1" s="293"/>
      <c r="VBP1" s="293"/>
      <c r="VBQ1" s="293"/>
      <c r="VBR1" s="293"/>
      <c r="VBS1" s="293"/>
      <c r="VBT1" s="293"/>
      <c r="VBU1" s="293"/>
      <c r="VBV1" s="293"/>
      <c r="VBW1" s="293"/>
      <c r="VBX1" s="293"/>
      <c r="VBY1" s="293"/>
      <c r="VBZ1" s="293"/>
      <c r="VCA1" s="293"/>
      <c r="VCB1" s="293"/>
      <c r="VCC1" s="293"/>
      <c r="VCD1" s="293"/>
      <c r="VCE1" s="293"/>
      <c r="VCF1" s="293"/>
      <c r="VCG1" s="293"/>
      <c r="VCH1" s="293"/>
      <c r="VCI1" s="293"/>
      <c r="VCJ1" s="293"/>
      <c r="VCK1" s="293"/>
      <c r="VCL1" s="293"/>
      <c r="VCM1" s="293"/>
      <c r="VCN1" s="293"/>
      <c r="VCO1" s="293"/>
      <c r="VCP1" s="293"/>
      <c r="VCQ1" s="293"/>
      <c r="VCR1" s="293"/>
      <c r="VCS1" s="293"/>
      <c r="VCT1" s="293"/>
      <c r="VCU1" s="293"/>
      <c r="VCV1" s="293"/>
      <c r="VCW1" s="293"/>
      <c r="VCX1" s="293"/>
      <c r="VCY1" s="293"/>
      <c r="VCZ1" s="293"/>
      <c r="VDA1" s="293"/>
      <c r="VDB1" s="293"/>
      <c r="VDC1" s="293"/>
      <c r="VDD1" s="293"/>
      <c r="VDE1" s="293"/>
      <c r="VDF1" s="293"/>
      <c r="VDG1" s="293"/>
      <c r="VDH1" s="293"/>
      <c r="VDI1" s="293"/>
      <c r="VDJ1" s="293"/>
      <c r="VDK1" s="293"/>
      <c r="VDL1" s="293"/>
      <c r="VDM1" s="293"/>
      <c r="VDN1" s="293"/>
      <c r="VDO1" s="293"/>
      <c r="VDP1" s="293"/>
      <c r="VDQ1" s="293"/>
      <c r="VDR1" s="293"/>
      <c r="VDS1" s="293"/>
      <c r="VDT1" s="293"/>
      <c r="VDU1" s="293"/>
      <c r="VDV1" s="293"/>
      <c r="VDW1" s="293"/>
      <c r="VDX1" s="293"/>
      <c r="VDY1" s="293"/>
      <c r="VDZ1" s="293"/>
      <c r="VEA1" s="293"/>
      <c r="VEB1" s="293"/>
      <c r="VEC1" s="293"/>
      <c r="VED1" s="293"/>
      <c r="VEE1" s="293"/>
      <c r="VEF1" s="293"/>
      <c r="VEG1" s="293"/>
      <c r="VEH1" s="293"/>
      <c r="VEI1" s="293"/>
      <c r="VEJ1" s="293"/>
      <c r="VEK1" s="293"/>
      <c r="VEL1" s="293"/>
      <c r="VEM1" s="293"/>
      <c r="VEN1" s="293"/>
      <c r="VEO1" s="293"/>
      <c r="VEP1" s="293"/>
      <c r="VEQ1" s="293"/>
      <c r="VER1" s="293"/>
      <c r="VES1" s="293"/>
      <c r="VET1" s="293"/>
      <c r="VEU1" s="293"/>
      <c r="VEV1" s="293"/>
      <c r="VEW1" s="293"/>
      <c r="VEX1" s="293"/>
      <c r="VEY1" s="293"/>
      <c r="VEZ1" s="293"/>
      <c r="VFA1" s="293"/>
      <c r="VFB1" s="293"/>
      <c r="VFC1" s="293"/>
      <c r="VFD1" s="293"/>
      <c r="VFE1" s="293"/>
      <c r="VFF1" s="293"/>
      <c r="VFG1" s="293"/>
      <c r="VFH1" s="293"/>
      <c r="VFI1" s="293"/>
      <c r="VFJ1" s="293"/>
      <c r="VFK1" s="293"/>
      <c r="VFL1" s="293"/>
      <c r="VFM1" s="293"/>
      <c r="VFN1" s="293"/>
      <c r="VFO1" s="293"/>
      <c r="VFP1" s="293"/>
      <c r="VFQ1" s="293"/>
      <c r="VFR1" s="293"/>
      <c r="VFS1" s="293"/>
      <c r="VFT1" s="293"/>
      <c r="VFU1" s="293"/>
      <c r="VFV1" s="293"/>
      <c r="VFW1" s="293"/>
      <c r="VFX1" s="293"/>
      <c r="VFY1" s="293"/>
      <c r="VFZ1" s="293"/>
      <c r="VGA1" s="293"/>
      <c r="VGB1" s="293"/>
      <c r="VGC1" s="293"/>
      <c r="VGD1" s="293"/>
      <c r="VGE1" s="293"/>
      <c r="VGF1" s="293"/>
      <c r="VGG1" s="293"/>
      <c r="VGH1" s="293"/>
      <c r="VGI1" s="293"/>
      <c r="VGJ1" s="293"/>
      <c r="VGK1" s="293"/>
      <c r="VGL1" s="293"/>
      <c r="VGM1" s="293"/>
      <c r="VGN1" s="293"/>
      <c r="VGO1" s="293"/>
      <c r="VGP1" s="293"/>
      <c r="VGQ1" s="293"/>
      <c r="VGR1" s="293"/>
      <c r="VGS1" s="293"/>
      <c r="VGT1" s="293"/>
      <c r="VGU1" s="293"/>
      <c r="VGV1" s="293"/>
      <c r="VGW1" s="293"/>
      <c r="VGX1" s="293"/>
      <c r="VGY1" s="293"/>
      <c r="VGZ1" s="293"/>
      <c r="VHA1" s="293"/>
      <c r="VHB1" s="293"/>
      <c r="VHC1" s="293"/>
      <c r="VHD1" s="293"/>
      <c r="VHE1" s="293"/>
      <c r="VHF1" s="293"/>
      <c r="VHG1" s="293"/>
      <c r="VHH1" s="293"/>
      <c r="VHI1" s="293"/>
      <c r="VHJ1" s="293"/>
      <c r="VHK1" s="293"/>
      <c r="VHL1" s="293"/>
      <c r="VHM1" s="293"/>
      <c r="VHN1" s="293"/>
      <c r="VHO1" s="293"/>
      <c r="VHP1" s="293"/>
      <c r="VHQ1" s="293"/>
      <c r="VHR1" s="293"/>
      <c r="VHS1" s="293"/>
      <c r="VHT1" s="293"/>
      <c r="VHU1" s="293"/>
      <c r="VHV1" s="293"/>
      <c r="VHW1" s="293"/>
      <c r="VHX1" s="293"/>
      <c r="VHY1" s="293"/>
      <c r="VHZ1" s="293"/>
      <c r="VIA1" s="293"/>
      <c r="VIB1" s="293"/>
      <c r="VIC1" s="293"/>
      <c r="VID1" s="293"/>
      <c r="VIE1" s="293"/>
      <c r="VIF1" s="293"/>
      <c r="VIG1" s="293"/>
      <c r="VIH1" s="293"/>
      <c r="VII1" s="293"/>
      <c r="VIJ1" s="293"/>
      <c r="VIK1" s="293"/>
      <c r="VIL1" s="293"/>
      <c r="VIM1" s="293"/>
      <c r="VIN1" s="293"/>
      <c r="VIO1" s="293"/>
      <c r="VIP1" s="293"/>
      <c r="VIQ1" s="293"/>
      <c r="VIR1" s="293"/>
      <c r="VIS1" s="293"/>
      <c r="VIT1" s="293"/>
      <c r="VIU1" s="293"/>
      <c r="VIV1" s="293"/>
      <c r="VIW1" s="293"/>
      <c r="VIX1" s="293"/>
      <c r="VIY1" s="293"/>
      <c r="VIZ1" s="293"/>
      <c r="VJA1" s="293"/>
      <c r="VJB1" s="293"/>
      <c r="VJC1" s="293"/>
      <c r="VJD1" s="293"/>
      <c r="VJE1" s="293"/>
      <c r="VJF1" s="293"/>
      <c r="VJG1" s="293"/>
      <c r="VJH1" s="293"/>
      <c r="VJI1" s="293"/>
      <c r="VJJ1" s="293"/>
      <c r="VJK1" s="293"/>
      <c r="VJL1" s="293"/>
      <c r="VJM1" s="293"/>
      <c r="VJN1" s="293"/>
      <c r="VJO1" s="293"/>
      <c r="VJP1" s="293"/>
      <c r="VJQ1" s="293"/>
      <c r="VJR1" s="293"/>
      <c r="VJS1" s="293"/>
      <c r="VJT1" s="293"/>
      <c r="VJU1" s="293"/>
      <c r="VJV1" s="293"/>
      <c r="VJW1" s="293"/>
      <c r="VJX1" s="293"/>
      <c r="VJY1" s="293"/>
      <c r="VJZ1" s="293"/>
      <c r="VKA1" s="293"/>
      <c r="VKB1" s="293"/>
      <c r="VKC1" s="293"/>
      <c r="VKD1" s="293"/>
      <c r="VKE1" s="293"/>
      <c r="VKF1" s="293"/>
      <c r="VKG1" s="293"/>
      <c r="VKH1" s="293"/>
      <c r="VKI1" s="293"/>
      <c r="VKJ1" s="293"/>
      <c r="VKK1" s="293"/>
      <c r="VKL1" s="293"/>
      <c r="VKM1" s="293"/>
      <c r="VKN1" s="293"/>
      <c r="VKO1" s="293"/>
      <c r="VKP1" s="293"/>
      <c r="VKQ1" s="293"/>
      <c r="VKR1" s="293"/>
      <c r="VKS1" s="293"/>
      <c r="VKT1" s="293"/>
      <c r="VKU1" s="293"/>
      <c r="VKV1" s="293"/>
      <c r="VKW1" s="293"/>
      <c r="VKX1" s="293"/>
      <c r="VKY1" s="293"/>
      <c r="VKZ1" s="293"/>
      <c r="VLA1" s="293"/>
      <c r="VLB1" s="293"/>
      <c r="VLC1" s="293"/>
      <c r="VLD1" s="293"/>
      <c r="VLE1" s="293"/>
      <c r="VLF1" s="293"/>
      <c r="VLG1" s="293"/>
      <c r="VLH1" s="293"/>
      <c r="VLI1" s="293"/>
      <c r="VLJ1" s="293"/>
      <c r="VLK1" s="293"/>
      <c r="VLL1" s="293"/>
      <c r="VLM1" s="293"/>
      <c r="VLN1" s="293"/>
      <c r="VLO1" s="293"/>
      <c r="VLP1" s="293"/>
      <c r="VLQ1" s="293"/>
      <c r="VLR1" s="293"/>
      <c r="VLS1" s="293"/>
      <c r="VLT1" s="293"/>
      <c r="VLU1" s="293"/>
      <c r="VLV1" s="293"/>
      <c r="VLW1" s="293"/>
      <c r="VLX1" s="293"/>
      <c r="VLY1" s="293"/>
      <c r="VLZ1" s="293"/>
      <c r="VMA1" s="293"/>
      <c r="VMB1" s="293"/>
      <c r="VMC1" s="293"/>
      <c r="VMD1" s="293"/>
      <c r="VME1" s="293"/>
      <c r="VMF1" s="293"/>
      <c r="VMG1" s="293"/>
      <c r="VMH1" s="293"/>
      <c r="VMI1" s="293"/>
      <c r="VMJ1" s="293"/>
      <c r="VMK1" s="293"/>
      <c r="VML1" s="293"/>
      <c r="VMM1" s="293"/>
      <c r="VMN1" s="293"/>
      <c r="VMO1" s="293"/>
      <c r="VMP1" s="293"/>
      <c r="VMQ1" s="293"/>
      <c r="VMR1" s="293"/>
      <c r="VMS1" s="293"/>
      <c r="VMT1" s="293"/>
      <c r="VMU1" s="293"/>
      <c r="VMV1" s="293"/>
      <c r="VMW1" s="293"/>
      <c r="VMX1" s="293"/>
      <c r="VMY1" s="293"/>
      <c r="VMZ1" s="293"/>
      <c r="VNA1" s="293"/>
      <c r="VNB1" s="293"/>
      <c r="VNC1" s="293"/>
      <c r="VND1" s="293"/>
      <c r="VNE1" s="293"/>
      <c r="VNF1" s="293"/>
      <c r="VNG1" s="293"/>
      <c r="VNH1" s="293"/>
      <c r="VNI1" s="293"/>
      <c r="VNJ1" s="293"/>
      <c r="VNK1" s="293"/>
      <c r="VNL1" s="293"/>
      <c r="VNM1" s="293"/>
      <c r="VNN1" s="293"/>
      <c r="VNO1" s="293"/>
      <c r="VNP1" s="293"/>
      <c r="VNQ1" s="293"/>
      <c r="VNR1" s="293"/>
      <c r="VNS1" s="293"/>
      <c r="VNT1" s="293"/>
      <c r="VNU1" s="293"/>
      <c r="VNV1" s="293"/>
      <c r="VNW1" s="293"/>
      <c r="VNX1" s="293"/>
      <c r="VNY1" s="293"/>
      <c r="VNZ1" s="293"/>
      <c r="VOA1" s="293"/>
      <c r="VOB1" s="293"/>
      <c r="VOC1" s="293"/>
      <c r="VOD1" s="293"/>
      <c r="VOE1" s="293"/>
      <c r="VOF1" s="293"/>
      <c r="VOG1" s="293"/>
      <c r="VOH1" s="293"/>
      <c r="VOI1" s="293"/>
      <c r="VOJ1" s="293"/>
      <c r="VOK1" s="293"/>
      <c r="VOL1" s="293"/>
      <c r="VOM1" s="293"/>
      <c r="VON1" s="293"/>
      <c r="VOO1" s="293"/>
      <c r="VOP1" s="293"/>
      <c r="VOQ1" s="293"/>
      <c r="VOR1" s="293"/>
      <c r="VOS1" s="293"/>
      <c r="VOT1" s="293"/>
      <c r="VOU1" s="293"/>
      <c r="VOV1" s="293"/>
      <c r="VOW1" s="293"/>
      <c r="VOX1" s="293"/>
      <c r="VOY1" s="293"/>
      <c r="VOZ1" s="293"/>
      <c r="VPA1" s="293"/>
      <c r="VPB1" s="293"/>
      <c r="VPC1" s="293"/>
      <c r="VPD1" s="293"/>
      <c r="VPE1" s="293"/>
      <c r="VPF1" s="293"/>
      <c r="VPG1" s="293"/>
      <c r="VPH1" s="293"/>
      <c r="VPI1" s="293"/>
      <c r="VPJ1" s="293"/>
      <c r="VPK1" s="293"/>
      <c r="VPL1" s="293"/>
      <c r="VPM1" s="293"/>
      <c r="VPN1" s="293"/>
      <c r="VPO1" s="293"/>
      <c r="VPP1" s="293"/>
      <c r="VPQ1" s="293"/>
      <c r="VPR1" s="293"/>
      <c r="VPS1" s="293"/>
      <c r="VPT1" s="293"/>
      <c r="VPU1" s="293"/>
      <c r="VPV1" s="293"/>
      <c r="VPW1" s="293"/>
      <c r="VPX1" s="293"/>
      <c r="VPY1" s="293"/>
      <c r="VPZ1" s="293"/>
      <c r="VQA1" s="293"/>
      <c r="VQB1" s="293"/>
      <c r="VQC1" s="293"/>
      <c r="VQD1" s="293"/>
      <c r="VQE1" s="293"/>
      <c r="VQF1" s="293"/>
      <c r="VQG1" s="293"/>
      <c r="VQH1" s="293"/>
      <c r="VQI1" s="293"/>
      <c r="VQJ1" s="293"/>
      <c r="VQK1" s="293"/>
      <c r="VQL1" s="293"/>
      <c r="VQM1" s="293"/>
      <c r="VQN1" s="293"/>
      <c r="VQO1" s="293"/>
      <c r="VQP1" s="293"/>
      <c r="VQQ1" s="293"/>
      <c r="VQR1" s="293"/>
      <c r="VQS1" s="293"/>
      <c r="VQT1" s="293"/>
      <c r="VQU1" s="293"/>
      <c r="VQV1" s="293"/>
      <c r="VQW1" s="293"/>
      <c r="VQX1" s="293"/>
      <c r="VQY1" s="293"/>
      <c r="VQZ1" s="293"/>
      <c r="VRA1" s="293"/>
      <c r="VRB1" s="293"/>
      <c r="VRC1" s="293"/>
      <c r="VRD1" s="293"/>
      <c r="VRE1" s="293"/>
      <c r="VRF1" s="293"/>
      <c r="VRG1" s="293"/>
      <c r="VRH1" s="293"/>
      <c r="VRI1" s="293"/>
      <c r="VRJ1" s="293"/>
      <c r="VRK1" s="293"/>
      <c r="VRL1" s="293"/>
      <c r="VRM1" s="293"/>
      <c r="VRN1" s="293"/>
      <c r="VRO1" s="293"/>
      <c r="VRP1" s="293"/>
      <c r="VRQ1" s="293"/>
      <c r="VRR1" s="293"/>
      <c r="VRS1" s="293"/>
      <c r="VRT1" s="293"/>
      <c r="VRU1" s="293"/>
      <c r="VRV1" s="293"/>
      <c r="VRW1" s="293"/>
      <c r="VRX1" s="293"/>
      <c r="VRY1" s="293"/>
      <c r="VRZ1" s="293"/>
      <c r="VSA1" s="293"/>
      <c r="VSB1" s="293"/>
      <c r="VSC1" s="293"/>
      <c r="VSD1" s="293"/>
      <c r="VSE1" s="293"/>
      <c r="VSF1" s="293"/>
      <c r="VSG1" s="293"/>
      <c r="VSH1" s="293"/>
      <c r="VSI1" s="293"/>
      <c r="VSJ1" s="293"/>
      <c r="VSK1" s="293"/>
      <c r="VSL1" s="293"/>
      <c r="VSM1" s="293"/>
      <c r="VSN1" s="293"/>
      <c r="VSO1" s="293"/>
      <c r="VSP1" s="293"/>
      <c r="VSQ1" s="293"/>
      <c r="VSR1" s="293"/>
      <c r="VSS1" s="293"/>
      <c r="VST1" s="293"/>
      <c r="VSU1" s="293"/>
      <c r="VSV1" s="293"/>
      <c r="VSW1" s="293"/>
      <c r="VSX1" s="293"/>
      <c r="VSY1" s="293"/>
      <c r="VSZ1" s="293"/>
      <c r="VTA1" s="293"/>
      <c r="VTB1" s="293"/>
      <c r="VTC1" s="293"/>
      <c r="VTD1" s="293"/>
      <c r="VTE1" s="293"/>
      <c r="VTF1" s="293"/>
      <c r="VTG1" s="293"/>
      <c r="VTH1" s="293"/>
      <c r="VTI1" s="293"/>
      <c r="VTJ1" s="293"/>
      <c r="VTK1" s="293"/>
      <c r="VTL1" s="293"/>
      <c r="VTM1" s="293"/>
      <c r="VTN1" s="293"/>
      <c r="VTO1" s="293"/>
      <c r="VTP1" s="293"/>
      <c r="VTQ1" s="293"/>
      <c r="VTR1" s="293"/>
      <c r="VTS1" s="293"/>
      <c r="VTT1" s="293"/>
      <c r="VTU1" s="293"/>
      <c r="VTV1" s="293"/>
      <c r="VTW1" s="293"/>
      <c r="VTX1" s="293"/>
      <c r="VTY1" s="293"/>
      <c r="VTZ1" s="293"/>
      <c r="VUA1" s="293"/>
      <c r="VUB1" s="293"/>
      <c r="VUC1" s="293"/>
      <c r="VUD1" s="293"/>
      <c r="VUE1" s="293"/>
      <c r="VUF1" s="293"/>
      <c r="VUG1" s="293"/>
      <c r="VUH1" s="293"/>
      <c r="VUI1" s="293"/>
      <c r="VUJ1" s="293"/>
      <c r="VUK1" s="293"/>
      <c r="VUL1" s="293"/>
      <c r="VUM1" s="293"/>
      <c r="VUN1" s="293"/>
      <c r="VUO1" s="293"/>
      <c r="VUP1" s="293"/>
      <c r="VUQ1" s="293"/>
      <c r="VUR1" s="293"/>
      <c r="VUS1" s="293"/>
      <c r="VUT1" s="293"/>
      <c r="VUU1" s="293"/>
      <c r="VUV1" s="293"/>
      <c r="VUW1" s="293"/>
      <c r="VUX1" s="293"/>
      <c r="VUY1" s="293"/>
      <c r="VUZ1" s="293"/>
      <c r="VVA1" s="293"/>
      <c r="VVB1" s="293"/>
      <c r="VVC1" s="293"/>
      <c r="VVD1" s="293"/>
      <c r="VVE1" s="293"/>
      <c r="VVF1" s="293"/>
      <c r="VVG1" s="293"/>
      <c r="VVH1" s="293"/>
      <c r="VVI1" s="293"/>
      <c r="VVJ1" s="293"/>
      <c r="VVK1" s="293"/>
      <c r="VVL1" s="293"/>
      <c r="VVM1" s="293"/>
      <c r="VVN1" s="293"/>
      <c r="VVO1" s="293"/>
      <c r="VVP1" s="293"/>
      <c r="VVQ1" s="293"/>
      <c r="VVR1" s="293"/>
      <c r="VVS1" s="293"/>
      <c r="VVT1" s="293"/>
      <c r="VVU1" s="293"/>
      <c r="VVV1" s="293"/>
      <c r="VVW1" s="293"/>
      <c r="VVX1" s="293"/>
      <c r="VVY1" s="293"/>
      <c r="VVZ1" s="293"/>
      <c r="VWA1" s="293"/>
      <c r="VWB1" s="293"/>
      <c r="VWC1" s="293"/>
      <c r="VWD1" s="293"/>
      <c r="VWE1" s="293"/>
      <c r="VWF1" s="293"/>
      <c r="VWG1" s="293"/>
      <c r="VWH1" s="293"/>
      <c r="VWI1" s="293"/>
      <c r="VWJ1" s="293"/>
      <c r="VWK1" s="293"/>
      <c r="VWL1" s="293"/>
      <c r="VWM1" s="293"/>
      <c r="VWN1" s="293"/>
      <c r="VWO1" s="293"/>
      <c r="VWP1" s="293"/>
      <c r="VWQ1" s="293"/>
      <c r="VWR1" s="293"/>
      <c r="VWS1" s="293"/>
      <c r="VWT1" s="293"/>
      <c r="VWU1" s="293"/>
      <c r="VWV1" s="293"/>
      <c r="VWW1" s="293"/>
      <c r="VWX1" s="293"/>
      <c r="VWY1" s="293"/>
      <c r="VWZ1" s="293"/>
      <c r="VXA1" s="293"/>
      <c r="VXB1" s="293"/>
      <c r="VXC1" s="293"/>
      <c r="VXD1" s="293"/>
      <c r="VXE1" s="293"/>
      <c r="VXF1" s="293"/>
      <c r="VXG1" s="293"/>
      <c r="VXH1" s="293"/>
      <c r="VXI1" s="293"/>
      <c r="VXJ1" s="293"/>
      <c r="VXK1" s="293"/>
      <c r="VXL1" s="293"/>
      <c r="VXM1" s="293"/>
      <c r="VXN1" s="293"/>
      <c r="VXO1" s="293"/>
      <c r="VXP1" s="293"/>
      <c r="VXQ1" s="293"/>
      <c r="VXR1" s="293"/>
      <c r="VXS1" s="293"/>
      <c r="VXT1" s="293"/>
      <c r="VXU1" s="293"/>
      <c r="VXV1" s="293"/>
      <c r="VXW1" s="293"/>
      <c r="VXX1" s="293"/>
      <c r="VXY1" s="293"/>
      <c r="VXZ1" s="293"/>
      <c r="VYA1" s="293"/>
      <c r="VYB1" s="293"/>
      <c r="VYC1" s="293"/>
      <c r="VYD1" s="293"/>
      <c r="VYE1" s="293"/>
      <c r="VYF1" s="293"/>
      <c r="VYG1" s="293"/>
      <c r="VYH1" s="293"/>
      <c r="VYI1" s="293"/>
      <c r="VYJ1" s="293"/>
      <c r="VYK1" s="293"/>
      <c r="VYL1" s="293"/>
      <c r="VYM1" s="293"/>
      <c r="VYN1" s="293"/>
      <c r="VYO1" s="293"/>
      <c r="VYP1" s="293"/>
      <c r="VYQ1" s="293"/>
      <c r="VYR1" s="293"/>
      <c r="VYS1" s="293"/>
      <c r="VYT1" s="293"/>
      <c r="VYU1" s="293"/>
      <c r="VYV1" s="293"/>
      <c r="VYW1" s="293"/>
      <c r="VYX1" s="293"/>
      <c r="VYY1" s="293"/>
      <c r="VYZ1" s="293"/>
      <c r="VZA1" s="293"/>
      <c r="VZB1" s="293"/>
      <c r="VZC1" s="293"/>
      <c r="VZD1" s="293"/>
      <c r="VZE1" s="293"/>
      <c r="VZF1" s="293"/>
      <c r="VZG1" s="293"/>
      <c r="VZH1" s="293"/>
      <c r="VZI1" s="293"/>
      <c r="VZJ1" s="293"/>
      <c r="VZK1" s="293"/>
      <c r="VZL1" s="293"/>
      <c r="VZM1" s="293"/>
      <c r="VZN1" s="293"/>
      <c r="VZO1" s="293"/>
      <c r="VZP1" s="293"/>
      <c r="VZQ1" s="293"/>
      <c r="VZR1" s="293"/>
      <c r="VZS1" s="293"/>
      <c r="VZT1" s="293"/>
      <c r="VZU1" s="293"/>
      <c r="VZV1" s="293"/>
      <c r="VZW1" s="293"/>
      <c r="VZX1" s="293"/>
      <c r="VZY1" s="293"/>
      <c r="VZZ1" s="293"/>
      <c r="WAA1" s="293"/>
      <c r="WAB1" s="293"/>
      <c r="WAC1" s="293"/>
      <c r="WAD1" s="293"/>
      <c r="WAE1" s="293"/>
      <c r="WAF1" s="293"/>
      <c r="WAG1" s="293"/>
      <c r="WAH1" s="293"/>
      <c r="WAI1" s="293"/>
      <c r="WAJ1" s="293"/>
      <c r="WAK1" s="293"/>
      <c r="WAL1" s="293"/>
      <c r="WAM1" s="293"/>
      <c r="WAN1" s="293"/>
      <c r="WAO1" s="293"/>
      <c r="WAP1" s="293"/>
      <c r="WAQ1" s="293"/>
      <c r="WAR1" s="293"/>
      <c r="WAS1" s="293"/>
      <c r="WAT1" s="293"/>
      <c r="WAU1" s="293"/>
      <c r="WAV1" s="293"/>
      <c r="WAW1" s="293"/>
      <c r="WAX1" s="293"/>
      <c r="WAY1" s="293"/>
      <c r="WAZ1" s="293"/>
      <c r="WBA1" s="293"/>
      <c r="WBB1" s="293"/>
      <c r="WBC1" s="293"/>
      <c r="WBD1" s="293"/>
      <c r="WBE1" s="293"/>
      <c r="WBF1" s="293"/>
      <c r="WBG1" s="293"/>
      <c r="WBH1" s="293"/>
      <c r="WBI1" s="293"/>
      <c r="WBJ1" s="293"/>
      <c r="WBK1" s="293"/>
      <c r="WBL1" s="293"/>
      <c r="WBM1" s="293"/>
      <c r="WBN1" s="293"/>
      <c r="WBO1" s="293"/>
      <c r="WBP1" s="293"/>
      <c r="WBQ1" s="293"/>
      <c r="WBR1" s="293"/>
      <c r="WBS1" s="293"/>
      <c r="WBT1" s="293"/>
      <c r="WBU1" s="293"/>
      <c r="WBV1" s="293"/>
      <c r="WBW1" s="293"/>
      <c r="WBX1" s="293"/>
      <c r="WBY1" s="293"/>
      <c r="WBZ1" s="293"/>
      <c r="WCA1" s="293"/>
      <c r="WCB1" s="293"/>
      <c r="WCC1" s="293"/>
      <c r="WCD1" s="293"/>
      <c r="WCE1" s="293"/>
      <c r="WCF1" s="293"/>
      <c r="WCG1" s="293"/>
      <c r="WCH1" s="293"/>
      <c r="WCI1" s="293"/>
      <c r="WCJ1" s="293"/>
      <c r="WCK1" s="293"/>
      <c r="WCL1" s="293"/>
      <c r="WCM1" s="293"/>
      <c r="WCN1" s="293"/>
      <c r="WCO1" s="293"/>
      <c r="WCP1" s="293"/>
      <c r="WCQ1" s="293"/>
      <c r="WCR1" s="293"/>
      <c r="WCS1" s="293"/>
      <c r="WCT1" s="293"/>
      <c r="WCU1" s="293"/>
      <c r="WCV1" s="293"/>
      <c r="WCW1" s="293"/>
      <c r="WCX1" s="293"/>
      <c r="WCY1" s="293"/>
      <c r="WCZ1" s="293"/>
      <c r="WDA1" s="293"/>
      <c r="WDB1" s="293"/>
      <c r="WDC1" s="293"/>
      <c r="WDD1" s="293"/>
      <c r="WDE1" s="293"/>
      <c r="WDF1" s="293"/>
      <c r="WDG1" s="293"/>
      <c r="WDH1" s="293"/>
      <c r="WDI1" s="293"/>
      <c r="WDJ1" s="293"/>
      <c r="WDK1" s="293"/>
      <c r="WDL1" s="293"/>
      <c r="WDM1" s="293"/>
      <c r="WDN1" s="293"/>
      <c r="WDO1" s="293"/>
      <c r="WDP1" s="293"/>
      <c r="WDQ1" s="293"/>
      <c r="WDR1" s="293"/>
      <c r="WDS1" s="293"/>
      <c r="WDT1" s="293"/>
      <c r="WDU1" s="293"/>
      <c r="WDV1" s="293"/>
      <c r="WDW1" s="293"/>
      <c r="WDX1" s="293"/>
      <c r="WDY1" s="293"/>
      <c r="WDZ1" s="293"/>
      <c r="WEA1" s="293"/>
      <c r="WEB1" s="293"/>
      <c r="WEC1" s="293"/>
      <c r="WED1" s="293"/>
      <c r="WEE1" s="293"/>
      <c r="WEF1" s="293"/>
      <c r="WEG1" s="293"/>
      <c r="WEH1" s="293"/>
      <c r="WEI1" s="293"/>
      <c r="WEJ1" s="293"/>
      <c r="WEK1" s="293"/>
      <c r="WEL1" s="293"/>
      <c r="WEM1" s="293"/>
      <c r="WEN1" s="293"/>
      <c r="WEO1" s="293"/>
      <c r="WEP1" s="293"/>
      <c r="WEQ1" s="293"/>
      <c r="WER1" s="293"/>
      <c r="WES1" s="293"/>
      <c r="WET1" s="293"/>
      <c r="WEU1" s="293"/>
      <c r="WEV1" s="293"/>
      <c r="WEW1" s="293"/>
      <c r="WEX1" s="293"/>
      <c r="WEY1" s="293"/>
      <c r="WEZ1" s="293"/>
      <c r="WFA1" s="293"/>
      <c r="WFB1" s="293"/>
      <c r="WFC1" s="293"/>
      <c r="WFD1" s="293"/>
      <c r="WFE1" s="293"/>
      <c r="WFF1" s="293"/>
      <c r="WFG1" s="293"/>
      <c r="WFH1" s="293"/>
      <c r="WFI1" s="293"/>
      <c r="WFJ1" s="293"/>
      <c r="WFK1" s="293"/>
      <c r="WFL1" s="293"/>
      <c r="WFM1" s="293"/>
      <c r="WFN1" s="293"/>
      <c r="WFO1" s="293"/>
      <c r="WFP1" s="293"/>
      <c r="WFQ1" s="293"/>
      <c r="WFR1" s="293"/>
      <c r="WFS1" s="293"/>
      <c r="WFT1" s="293"/>
      <c r="WFU1" s="293"/>
      <c r="WFV1" s="293"/>
      <c r="WFW1" s="293"/>
      <c r="WFX1" s="293"/>
      <c r="WFY1" s="293"/>
      <c r="WFZ1" s="293"/>
      <c r="WGA1" s="293"/>
      <c r="WGB1" s="293"/>
      <c r="WGC1" s="293"/>
      <c r="WGD1" s="293"/>
      <c r="WGE1" s="293"/>
      <c r="WGF1" s="293"/>
      <c r="WGG1" s="293"/>
      <c r="WGH1" s="293"/>
      <c r="WGI1" s="293"/>
      <c r="WGJ1" s="293"/>
      <c r="WGK1" s="293"/>
      <c r="WGL1" s="293"/>
      <c r="WGM1" s="293"/>
      <c r="WGN1" s="293"/>
      <c r="WGO1" s="293"/>
      <c r="WGP1" s="293"/>
      <c r="WGQ1" s="293"/>
      <c r="WGR1" s="293"/>
      <c r="WGS1" s="293"/>
      <c r="WGT1" s="293"/>
      <c r="WGU1" s="293"/>
      <c r="WGV1" s="293"/>
      <c r="WGW1" s="293"/>
      <c r="WGX1" s="293"/>
      <c r="WGY1" s="293"/>
      <c r="WGZ1" s="293"/>
      <c r="WHA1" s="293"/>
      <c r="WHB1" s="293"/>
      <c r="WHC1" s="293"/>
      <c r="WHD1" s="293"/>
      <c r="WHE1" s="293"/>
      <c r="WHF1" s="293"/>
      <c r="WHG1" s="293"/>
      <c r="WHH1" s="293"/>
      <c r="WHI1" s="293"/>
      <c r="WHJ1" s="293"/>
      <c r="WHK1" s="293"/>
      <c r="WHL1" s="293"/>
      <c r="WHM1" s="293"/>
      <c r="WHN1" s="293"/>
      <c r="WHO1" s="293"/>
      <c r="WHP1" s="293"/>
      <c r="WHQ1" s="293"/>
      <c r="WHR1" s="293"/>
      <c r="WHS1" s="293"/>
      <c r="WHT1" s="293"/>
      <c r="WHU1" s="293"/>
      <c r="WHV1" s="293"/>
      <c r="WHW1" s="293"/>
      <c r="WHX1" s="293"/>
      <c r="WHY1" s="293"/>
      <c r="WHZ1" s="293"/>
      <c r="WIA1" s="293"/>
      <c r="WIB1" s="293"/>
      <c r="WIC1" s="293"/>
      <c r="WID1" s="293"/>
      <c r="WIE1" s="293"/>
      <c r="WIF1" s="293"/>
      <c r="WIG1" s="293"/>
      <c r="WIH1" s="293"/>
      <c r="WII1" s="293"/>
      <c r="WIJ1" s="293"/>
      <c r="WIK1" s="293"/>
      <c r="WIL1" s="293"/>
      <c r="WIM1" s="293"/>
      <c r="WIN1" s="293"/>
      <c r="WIO1" s="293"/>
      <c r="WIP1" s="293"/>
      <c r="WIQ1" s="293"/>
      <c r="WIR1" s="293"/>
      <c r="WIS1" s="293"/>
      <c r="WIT1" s="293"/>
      <c r="WIU1" s="293"/>
      <c r="WIV1" s="293"/>
      <c r="WIW1" s="293"/>
      <c r="WIX1" s="293"/>
      <c r="WIY1" s="293"/>
      <c r="WIZ1" s="293"/>
      <c r="WJA1" s="293"/>
      <c r="WJB1" s="293"/>
      <c r="WJC1" s="293"/>
      <c r="WJD1" s="293"/>
      <c r="WJE1" s="293"/>
      <c r="WJF1" s="293"/>
      <c r="WJG1" s="293"/>
      <c r="WJH1" s="293"/>
      <c r="WJI1" s="293"/>
      <c r="WJJ1" s="293"/>
      <c r="WJK1" s="293"/>
      <c r="WJL1" s="293"/>
      <c r="WJM1" s="293"/>
      <c r="WJN1" s="293"/>
      <c r="WJO1" s="293"/>
      <c r="WJP1" s="293"/>
      <c r="WJQ1" s="293"/>
      <c r="WJR1" s="293"/>
      <c r="WJS1" s="293"/>
      <c r="WJT1" s="293"/>
      <c r="WJU1" s="293"/>
      <c r="WJV1" s="293"/>
      <c r="WJW1" s="293"/>
      <c r="WJX1" s="293"/>
      <c r="WJY1" s="293"/>
      <c r="WJZ1" s="293"/>
      <c r="WKA1" s="293"/>
      <c r="WKB1" s="293"/>
      <c r="WKC1" s="293"/>
      <c r="WKD1" s="293"/>
      <c r="WKE1" s="293"/>
      <c r="WKF1" s="293"/>
      <c r="WKG1" s="293"/>
      <c r="WKH1" s="293"/>
      <c r="WKI1" s="293"/>
      <c r="WKJ1" s="293"/>
      <c r="WKK1" s="293"/>
      <c r="WKL1" s="293"/>
      <c r="WKM1" s="293"/>
      <c r="WKN1" s="293"/>
      <c r="WKO1" s="293"/>
      <c r="WKP1" s="293"/>
      <c r="WKQ1" s="293"/>
      <c r="WKR1" s="293"/>
      <c r="WKS1" s="293"/>
      <c r="WKT1" s="293"/>
      <c r="WKU1" s="293"/>
      <c r="WKV1" s="293"/>
      <c r="WKW1" s="293"/>
      <c r="WKX1" s="293"/>
      <c r="WKY1" s="293"/>
      <c r="WKZ1" s="293"/>
      <c r="WLA1" s="293"/>
      <c r="WLB1" s="293"/>
      <c r="WLC1" s="293"/>
      <c r="WLD1" s="293"/>
      <c r="WLE1" s="293"/>
      <c r="WLF1" s="293"/>
      <c r="WLG1" s="293"/>
      <c r="WLH1" s="293"/>
      <c r="WLI1" s="293"/>
      <c r="WLJ1" s="293"/>
      <c r="WLK1" s="293"/>
      <c r="WLL1" s="293"/>
      <c r="WLM1" s="293"/>
      <c r="WLN1" s="293"/>
      <c r="WLO1" s="293"/>
      <c r="WLP1" s="293"/>
      <c r="WLQ1" s="293"/>
      <c r="WLR1" s="293"/>
      <c r="WLS1" s="293"/>
      <c r="WLT1" s="293"/>
      <c r="WLU1" s="293"/>
      <c r="WLV1" s="293"/>
      <c r="WLW1" s="293"/>
      <c r="WLX1" s="293"/>
      <c r="WLY1" s="293"/>
      <c r="WLZ1" s="293"/>
      <c r="WMA1" s="293"/>
      <c r="WMB1" s="293"/>
      <c r="WMC1" s="293"/>
      <c r="WMD1" s="293"/>
      <c r="WME1" s="293"/>
      <c r="WMF1" s="293"/>
      <c r="WMG1" s="293"/>
      <c r="WMH1" s="293"/>
      <c r="WMI1" s="293"/>
      <c r="WMJ1" s="293"/>
      <c r="WMK1" s="293"/>
      <c r="WML1" s="293"/>
      <c r="WMM1" s="293"/>
      <c r="WMN1" s="293"/>
      <c r="WMO1" s="293"/>
      <c r="WMP1" s="293"/>
      <c r="WMQ1" s="293"/>
      <c r="WMR1" s="293"/>
      <c r="WMS1" s="293"/>
      <c r="WMT1" s="293"/>
      <c r="WMU1" s="293"/>
      <c r="WMV1" s="293"/>
      <c r="WMW1" s="293"/>
      <c r="WMX1" s="293"/>
      <c r="WMY1" s="293"/>
      <c r="WMZ1" s="293"/>
      <c r="WNA1" s="293"/>
      <c r="WNB1" s="293"/>
      <c r="WNC1" s="293"/>
      <c r="WND1" s="293"/>
      <c r="WNE1" s="293"/>
      <c r="WNF1" s="293"/>
      <c r="WNG1" s="293"/>
      <c r="WNH1" s="293"/>
      <c r="WNI1" s="293"/>
      <c r="WNJ1" s="293"/>
      <c r="WNK1" s="293"/>
      <c r="WNL1" s="293"/>
      <c r="WNM1" s="293"/>
      <c r="WNN1" s="293"/>
      <c r="WNO1" s="293"/>
      <c r="WNP1" s="293"/>
      <c r="WNQ1" s="293"/>
      <c r="WNR1" s="293"/>
      <c r="WNS1" s="293"/>
      <c r="WNT1" s="293"/>
      <c r="WNU1" s="293"/>
      <c r="WNV1" s="293"/>
      <c r="WNW1" s="293"/>
      <c r="WNX1" s="293"/>
      <c r="WNY1" s="293"/>
      <c r="WNZ1" s="293"/>
      <c r="WOA1" s="293"/>
      <c r="WOB1" s="293"/>
      <c r="WOC1" s="293"/>
      <c r="WOD1" s="293"/>
      <c r="WOE1" s="293"/>
      <c r="WOF1" s="293"/>
      <c r="WOG1" s="293"/>
      <c r="WOH1" s="293"/>
      <c r="WOI1" s="293"/>
      <c r="WOJ1" s="293"/>
      <c r="WOK1" s="293"/>
      <c r="WOL1" s="293"/>
      <c r="WOM1" s="293"/>
      <c r="WON1" s="293"/>
      <c r="WOO1" s="293"/>
      <c r="WOP1" s="293"/>
      <c r="WOQ1" s="293"/>
      <c r="WOR1" s="293"/>
      <c r="WOS1" s="293"/>
      <c r="WOT1" s="293"/>
      <c r="WOU1" s="293"/>
      <c r="WOV1" s="293"/>
      <c r="WOW1" s="293"/>
      <c r="WOX1" s="293"/>
      <c r="WOY1" s="293"/>
      <c r="WOZ1" s="293"/>
      <c r="WPA1" s="293"/>
      <c r="WPB1" s="293"/>
      <c r="WPC1" s="293"/>
      <c r="WPD1" s="293"/>
      <c r="WPE1" s="293"/>
      <c r="WPF1" s="293"/>
      <c r="WPG1" s="293"/>
      <c r="WPH1" s="293"/>
      <c r="WPI1" s="293"/>
      <c r="WPJ1" s="293"/>
      <c r="WPK1" s="293"/>
      <c r="WPL1" s="293"/>
      <c r="WPM1" s="293"/>
      <c r="WPN1" s="293"/>
      <c r="WPO1" s="293"/>
      <c r="WPP1" s="293"/>
      <c r="WPQ1" s="293"/>
      <c r="WPR1" s="293"/>
      <c r="WPS1" s="293"/>
      <c r="WPT1" s="293"/>
      <c r="WPU1" s="293"/>
      <c r="WPV1" s="293"/>
      <c r="WPW1" s="293"/>
      <c r="WPX1" s="293"/>
      <c r="WPY1" s="293"/>
      <c r="WPZ1" s="293"/>
      <c r="WQA1" s="293"/>
      <c r="WQB1" s="293"/>
      <c r="WQC1" s="293"/>
      <c r="WQD1" s="293"/>
      <c r="WQE1" s="293"/>
      <c r="WQF1" s="293"/>
      <c r="WQG1" s="293"/>
      <c r="WQH1" s="293"/>
      <c r="WQI1" s="293"/>
      <c r="WQJ1" s="293"/>
      <c r="WQK1" s="293"/>
      <c r="WQL1" s="293"/>
      <c r="WQM1" s="293"/>
      <c r="WQN1" s="293"/>
      <c r="WQO1" s="293"/>
      <c r="WQP1" s="293"/>
      <c r="WQQ1" s="293"/>
      <c r="WQR1" s="293"/>
      <c r="WQS1" s="293"/>
      <c r="WQT1" s="293"/>
      <c r="WQU1" s="293"/>
      <c r="WQV1" s="293"/>
      <c r="WQW1" s="293"/>
      <c r="WQX1" s="293"/>
      <c r="WQY1" s="293"/>
      <c r="WQZ1" s="293"/>
      <c r="WRA1" s="293"/>
      <c r="WRB1" s="293"/>
      <c r="WRC1" s="293"/>
      <c r="WRD1" s="293"/>
      <c r="WRE1" s="293"/>
      <c r="WRF1" s="293"/>
      <c r="WRG1" s="293"/>
      <c r="WRH1" s="293"/>
      <c r="WRI1" s="293"/>
      <c r="WRJ1" s="293"/>
      <c r="WRK1" s="293"/>
      <c r="WRL1" s="293"/>
      <c r="WRM1" s="293"/>
      <c r="WRN1" s="293"/>
      <c r="WRO1" s="293"/>
      <c r="WRP1" s="293"/>
      <c r="WRQ1" s="293"/>
      <c r="WRR1" s="293"/>
      <c r="WRS1" s="293"/>
      <c r="WRT1" s="293"/>
      <c r="WRU1" s="293"/>
      <c r="WRV1" s="293"/>
      <c r="WRW1" s="293"/>
      <c r="WRX1" s="293"/>
      <c r="WRY1" s="293"/>
      <c r="WRZ1" s="293"/>
      <c r="WSA1" s="293"/>
      <c r="WSB1" s="293"/>
      <c r="WSC1" s="293"/>
      <c r="WSD1" s="293"/>
      <c r="WSE1" s="293"/>
      <c r="WSF1" s="293"/>
      <c r="WSG1" s="293"/>
      <c r="WSH1" s="293"/>
      <c r="WSI1" s="293"/>
      <c r="WSJ1" s="293"/>
      <c r="WSK1" s="293"/>
      <c r="WSL1" s="293"/>
      <c r="WSM1" s="293"/>
      <c r="WSN1" s="293"/>
      <c r="WSO1" s="293"/>
      <c r="WSP1" s="293"/>
      <c r="WSQ1" s="293"/>
      <c r="WSR1" s="293"/>
      <c r="WSS1" s="293"/>
      <c r="WST1" s="293"/>
      <c r="WSU1" s="293"/>
      <c r="WSV1" s="293"/>
      <c r="WSW1" s="293"/>
      <c r="WSX1" s="293"/>
      <c r="WSY1" s="293"/>
      <c r="WSZ1" s="293"/>
      <c r="WTA1" s="293"/>
      <c r="WTB1" s="293"/>
      <c r="WTC1" s="293"/>
      <c r="WTD1" s="293"/>
      <c r="WTE1" s="293"/>
      <c r="WTF1" s="293"/>
      <c r="WTG1" s="293"/>
      <c r="WTH1" s="293"/>
      <c r="WTI1" s="293"/>
      <c r="WTJ1" s="293"/>
      <c r="WTK1" s="293"/>
      <c r="WTL1" s="293"/>
      <c r="WTM1" s="293"/>
      <c r="WTN1" s="293"/>
      <c r="WTO1" s="293"/>
      <c r="WTP1" s="293"/>
      <c r="WTQ1" s="293"/>
      <c r="WTR1" s="293"/>
      <c r="WTS1" s="293"/>
      <c r="WTT1" s="293"/>
      <c r="WTU1" s="293"/>
      <c r="WTV1" s="293"/>
      <c r="WTW1" s="293"/>
      <c r="WTX1" s="293"/>
      <c r="WTY1" s="293"/>
      <c r="WTZ1" s="293"/>
      <c r="WUA1" s="293"/>
      <c r="WUB1" s="293"/>
      <c r="WUC1" s="293"/>
      <c r="WUD1" s="293"/>
      <c r="WUE1" s="293"/>
      <c r="WUF1" s="293"/>
      <c r="WUG1" s="293"/>
      <c r="WUH1" s="293"/>
      <c r="WUI1" s="293"/>
      <c r="WUJ1" s="293"/>
      <c r="WUK1" s="293"/>
      <c r="WUL1" s="293"/>
      <c r="WUM1" s="293"/>
      <c r="WUN1" s="293"/>
      <c r="WUO1" s="293"/>
      <c r="WUP1" s="293"/>
      <c r="WUQ1" s="293"/>
      <c r="WUR1" s="293"/>
      <c r="WUS1" s="293"/>
      <c r="WUT1" s="293"/>
      <c r="WUU1" s="293"/>
      <c r="WUV1" s="293"/>
      <c r="WUW1" s="293"/>
      <c r="WUX1" s="293"/>
      <c r="WUY1" s="293"/>
      <c r="WUZ1" s="293"/>
      <c r="WVA1" s="293"/>
      <c r="WVB1" s="293"/>
      <c r="WVC1" s="293"/>
      <c r="WVD1" s="293"/>
      <c r="WVE1" s="293"/>
      <c r="WVF1" s="293"/>
      <c r="WVG1" s="293"/>
      <c r="WVH1" s="293"/>
      <c r="WVI1" s="293"/>
      <c r="WVJ1" s="293"/>
      <c r="WVK1" s="293"/>
      <c r="WVL1" s="293"/>
      <c r="WVM1" s="293"/>
      <c r="WVN1" s="293"/>
      <c r="WVO1" s="293"/>
      <c r="WVP1" s="293"/>
      <c r="WVQ1" s="293"/>
      <c r="WVR1" s="293"/>
      <c r="WVS1" s="293"/>
      <c r="WVT1" s="293"/>
      <c r="WVU1" s="293"/>
      <c r="WVV1" s="293"/>
      <c r="WVW1" s="293"/>
      <c r="WVX1" s="293"/>
      <c r="WVY1" s="293"/>
      <c r="WVZ1" s="293"/>
      <c r="WWA1" s="293"/>
      <c r="WWB1" s="293"/>
      <c r="WWC1" s="293"/>
      <c r="WWD1" s="293"/>
      <c r="WWE1" s="293"/>
      <c r="WWF1" s="293"/>
      <c r="WWG1" s="293"/>
      <c r="WWH1" s="293"/>
      <c r="WWI1" s="293"/>
      <c r="WWJ1" s="293"/>
      <c r="WWK1" s="293"/>
      <c r="WWL1" s="293"/>
      <c r="WWM1" s="293"/>
      <c r="WWN1" s="293"/>
      <c r="WWO1" s="293"/>
      <c r="WWP1" s="293"/>
      <c r="WWQ1" s="293"/>
      <c r="WWR1" s="293"/>
      <c r="WWS1" s="293"/>
      <c r="WWT1" s="293"/>
      <c r="WWU1" s="293"/>
      <c r="WWV1" s="293"/>
      <c r="WWW1" s="293"/>
      <c r="WWX1" s="293"/>
      <c r="WWY1" s="293"/>
      <c r="WWZ1" s="293"/>
      <c r="WXA1" s="293"/>
      <c r="WXB1" s="293"/>
      <c r="WXC1" s="293"/>
      <c r="WXD1" s="293"/>
      <c r="WXE1" s="293"/>
      <c r="WXF1" s="293"/>
      <c r="WXG1" s="293"/>
      <c r="WXH1" s="293"/>
      <c r="WXI1" s="293"/>
      <c r="WXJ1" s="293"/>
      <c r="WXK1" s="293"/>
      <c r="WXL1" s="293"/>
      <c r="WXM1" s="293"/>
      <c r="WXN1" s="293"/>
      <c r="WXO1" s="293"/>
      <c r="WXP1" s="293"/>
      <c r="WXQ1" s="293"/>
      <c r="WXR1" s="293"/>
      <c r="WXS1" s="293"/>
      <c r="WXT1" s="293"/>
      <c r="WXU1" s="293"/>
      <c r="WXV1" s="293"/>
      <c r="WXW1" s="293"/>
      <c r="WXX1" s="293"/>
      <c r="WXY1" s="293"/>
      <c r="WXZ1" s="293"/>
      <c r="WYA1" s="293"/>
      <c r="WYB1" s="293"/>
      <c r="WYC1" s="293"/>
      <c r="WYD1" s="293"/>
      <c r="WYE1" s="293"/>
      <c r="WYF1" s="293"/>
      <c r="WYG1" s="293"/>
      <c r="WYH1" s="293"/>
      <c r="WYI1" s="293"/>
      <c r="WYJ1" s="293"/>
      <c r="WYK1" s="293"/>
      <c r="WYL1" s="293"/>
      <c r="WYM1" s="293"/>
      <c r="WYN1" s="293"/>
      <c r="WYO1" s="293"/>
      <c r="WYP1" s="293"/>
      <c r="WYQ1" s="293"/>
      <c r="WYR1" s="293"/>
      <c r="WYS1" s="293"/>
      <c r="WYT1" s="293"/>
      <c r="WYU1" s="293"/>
      <c r="WYV1" s="293"/>
      <c r="WYW1" s="293"/>
      <c r="WYX1" s="293"/>
      <c r="WYY1" s="293"/>
      <c r="WYZ1" s="293"/>
      <c r="WZA1" s="293"/>
      <c r="WZB1" s="293"/>
      <c r="WZC1" s="293"/>
      <c r="WZD1" s="293"/>
      <c r="WZE1" s="293"/>
      <c r="WZF1" s="293"/>
      <c r="WZG1" s="293"/>
      <c r="WZH1" s="293"/>
      <c r="WZI1" s="293"/>
      <c r="WZJ1" s="293"/>
      <c r="WZK1" s="293"/>
      <c r="WZL1" s="293"/>
      <c r="WZM1" s="293"/>
      <c r="WZN1" s="293"/>
      <c r="WZO1" s="293"/>
      <c r="WZP1" s="293"/>
      <c r="WZQ1" s="293"/>
      <c r="WZR1" s="293"/>
      <c r="WZS1" s="293"/>
      <c r="WZT1" s="293"/>
      <c r="WZU1" s="293"/>
      <c r="WZV1" s="293"/>
      <c r="WZW1" s="293"/>
      <c r="WZX1" s="293"/>
      <c r="WZY1" s="293"/>
      <c r="WZZ1" s="293"/>
      <c r="XAA1" s="293"/>
      <c r="XAB1" s="293"/>
      <c r="XAC1" s="293"/>
      <c r="XAD1" s="293"/>
      <c r="XAE1" s="293"/>
      <c r="XAF1" s="293"/>
      <c r="XAG1" s="293"/>
      <c r="XAH1" s="293"/>
      <c r="XAI1" s="293"/>
      <c r="XAJ1" s="293"/>
      <c r="XAK1" s="293"/>
      <c r="XAL1" s="293"/>
      <c r="XAM1" s="293"/>
      <c r="XAN1" s="293"/>
      <c r="XAO1" s="293"/>
      <c r="XAP1" s="293"/>
      <c r="XAQ1" s="293"/>
      <c r="XAR1" s="293"/>
      <c r="XAS1" s="293"/>
      <c r="XAT1" s="293"/>
      <c r="XAU1" s="293"/>
      <c r="XAV1" s="293"/>
      <c r="XAW1" s="293"/>
      <c r="XAX1" s="293"/>
      <c r="XAY1" s="293"/>
      <c r="XAZ1" s="293"/>
      <c r="XBA1" s="293"/>
      <c r="XBB1" s="293"/>
      <c r="XBC1" s="293"/>
      <c r="XBD1" s="293"/>
      <c r="XBE1" s="293"/>
      <c r="XBF1" s="293"/>
      <c r="XBG1" s="293"/>
      <c r="XBH1" s="293"/>
      <c r="XBI1" s="293"/>
      <c r="XBJ1" s="293"/>
      <c r="XBK1" s="293"/>
      <c r="XBL1" s="293"/>
      <c r="XBM1" s="293"/>
      <c r="XBN1" s="293"/>
      <c r="XBO1" s="293"/>
      <c r="XBP1" s="293"/>
      <c r="XBQ1" s="293"/>
      <c r="XBR1" s="293"/>
      <c r="XBS1" s="293"/>
      <c r="XBT1" s="293"/>
      <c r="XBU1" s="293"/>
      <c r="XBV1" s="293"/>
      <c r="XBW1" s="293"/>
      <c r="XBX1" s="293"/>
      <c r="XBY1" s="293"/>
      <c r="XBZ1" s="293"/>
      <c r="XCA1" s="293"/>
      <c r="XCB1" s="293"/>
      <c r="XCC1" s="293"/>
      <c r="XCD1" s="293"/>
      <c r="XCE1" s="293"/>
      <c r="XCF1" s="293"/>
      <c r="XCG1" s="293"/>
      <c r="XCH1" s="293"/>
      <c r="XCI1" s="293"/>
      <c r="XCJ1" s="293"/>
      <c r="XCK1" s="293"/>
      <c r="XCL1" s="293"/>
      <c r="XCM1" s="293"/>
      <c r="XCN1" s="293"/>
      <c r="XCO1" s="293"/>
      <c r="XCP1" s="293"/>
      <c r="XCQ1" s="293"/>
      <c r="XCR1" s="293"/>
      <c r="XCS1" s="293"/>
      <c r="XCT1" s="293"/>
      <c r="XCU1" s="293"/>
      <c r="XCV1" s="293"/>
      <c r="XCW1" s="293"/>
      <c r="XCX1" s="293"/>
      <c r="XCY1" s="293"/>
      <c r="XCZ1" s="293"/>
      <c r="XDA1" s="293"/>
      <c r="XDB1" s="293"/>
      <c r="XDC1" s="293"/>
      <c r="XDD1" s="293"/>
      <c r="XDE1" s="293"/>
      <c r="XDF1" s="293"/>
      <c r="XDG1" s="293"/>
      <c r="XDH1" s="293"/>
      <c r="XDI1" s="293"/>
      <c r="XDJ1" s="293"/>
      <c r="XDK1" s="293"/>
      <c r="XDL1" s="293"/>
      <c r="XDM1" s="293"/>
      <c r="XDN1" s="293"/>
      <c r="XDO1" s="293"/>
      <c r="XDP1" s="293"/>
      <c r="XDQ1" s="293"/>
      <c r="XDR1" s="293"/>
      <c r="XDS1" s="293"/>
      <c r="XDT1" s="293"/>
      <c r="XDU1" s="293"/>
      <c r="XDV1" s="293"/>
      <c r="XDW1" s="293"/>
      <c r="XDX1" s="293"/>
      <c r="XDY1" s="293"/>
      <c r="XDZ1" s="293"/>
      <c r="XEA1" s="293"/>
      <c r="XEB1" s="293"/>
      <c r="XEC1" s="293"/>
      <c r="XED1" s="293"/>
      <c r="XEE1" s="293"/>
      <c r="XEF1" s="293"/>
      <c r="XEG1" s="293"/>
      <c r="XEH1" s="293"/>
      <c r="XEI1" s="293"/>
      <c r="XEJ1" s="293"/>
      <c r="XEK1" s="293"/>
      <c r="XEL1" s="293"/>
      <c r="XEM1" s="293"/>
      <c r="XEN1" s="293"/>
      <c r="XEO1" s="293"/>
      <c r="XEP1" s="293"/>
      <c r="XEQ1" s="293"/>
      <c r="XER1" s="293"/>
      <c r="XES1" s="293"/>
      <c r="XET1" s="293"/>
      <c r="XEU1" s="293"/>
      <c r="XEV1" s="293"/>
      <c r="XEW1" s="293"/>
      <c r="XEX1" s="293"/>
      <c r="XEY1" s="293"/>
      <c r="XEZ1" s="293"/>
      <c r="XFA1" s="293"/>
      <c r="XFB1" s="293"/>
      <c r="XFC1" s="293"/>
    </row>
    <row r="2" spans="1:16383" s="117" customFormat="1" ht="18.75" x14ac:dyDescent="0.3">
      <c r="A2" s="153"/>
      <c r="B2" s="153">
        <v>17</v>
      </c>
      <c r="C2" s="153">
        <v>18</v>
      </c>
      <c r="D2" s="153">
        <v>19</v>
      </c>
      <c r="E2" s="153">
        <v>20</v>
      </c>
      <c r="F2" s="153">
        <v>21</v>
      </c>
      <c r="G2" s="153">
        <v>22</v>
      </c>
      <c r="H2" s="153">
        <v>23</v>
      </c>
      <c r="I2" s="153">
        <v>24</v>
      </c>
      <c r="J2" s="153">
        <v>25</v>
      </c>
      <c r="K2" s="153">
        <v>26</v>
      </c>
      <c r="L2" s="153">
        <v>27</v>
      </c>
      <c r="M2" s="354">
        <v>28</v>
      </c>
      <c r="N2" s="354">
        <v>29</v>
      </c>
      <c r="O2" s="354">
        <v>30</v>
      </c>
      <c r="P2" s="416">
        <v>31</v>
      </c>
      <c r="Q2" s="153">
        <v>32</v>
      </c>
      <c r="R2" s="153">
        <v>33</v>
      </c>
      <c r="S2" s="153">
        <v>34</v>
      </c>
      <c r="T2" s="153">
        <v>35</v>
      </c>
      <c r="U2" s="153">
        <v>36</v>
      </c>
      <c r="V2" s="153">
        <v>37</v>
      </c>
      <c r="W2" s="153">
        <v>38</v>
      </c>
      <c r="X2" s="293" t="s">
        <v>1493</v>
      </c>
      <c r="Y2"/>
      <c r="Z2"/>
      <c r="AA2"/>
      <c r="AB2"/>
      <c r="AC2"/>
      <c r="AD2"/>
      <c r="AE2"/>
      <c r="AF2"/>
      <c r="AG2"/>
      <c r="AH2"/>
      <c r="AI2"/>
      <c r="AJ2"/>
      <c r="AK2"/>
      <c r="AL2"/>
      <c r="AM2"/>
      <c r="AN2"/>
      <c r="AO2"/>
      <c r="AP2"/>
      <c r="AQ2"/>
      <c r="AR2"/>
    </row>
    <row r="3" spans="1:16383" ht="19.5" thickBot="1" x14ac:dyDescent="0.35">
      <c r="A3" s="357">
        <v>0.05</v>
      </c>
      <c r="B3" s="356">
        <v>3.2</v>
      </c>
      <c r="C3" s="356">
        <v>3.7</v>
      </c>
      <c r="D3" s="356">
        <v>4.0999999999999996</v>
      </c>
      <c r="E3" s="356">
        <v>4.4000000000000004</v>
      </c>
      <c r="F3" s="356">
        <v>4.5999999999999996</v>
      </c>
      <c r="G3" s="356">
        <v>4.7</v>
      </c>
      <c r="H3" s="356">
        <v>4.55</v>
      </c>
      <c r="I3" s="356">
        <v>4.4000000000000004</v>
      </c>
      <c r="J3" s="356">
        <v>4.25</v>
      </c>
      <c r="K3" s="356">
        <v>4.0999999999999996</v>
      </c>
      <c r="L3" s="356">
        <v>3.95</v>
      </c>
      <c r="M3" s="356">
        <v>3.8</v>
      </c>
      <c r="N3" s="356">
        <v>3.6500000000000004</v>
      </c>
      <c r="O3" s="356">
        <v>3.5</v>
      </c>
      <c r="P3" s="356">
        <v>3.3499999999999996</v>
      </c>
      <c r="Q3" s="415">
        <v>3.1500000000000004</v>
      </c>
      <c r="R3" s="356">
        <v>2.95</v>
      </c>
      <c r="S3" s="356">
        <v>2.65</v>
      </c>
      <c r="T3" s="356">
        <v>2.2999999999999998</v>
      </c>
      <c r="U3" s="356">
        <v>1.9</v>
      </c>
      <c r="V3" s="356">
        <v>1.4500000000000002</v>
      </c>
      <c r="W3" s="356">
        <v>0.95</v>
      </c>
      <c r="X3" s="293"/>
    </row>
    <row r="4" spans="1:16383" ht="19.5" thickBot="1" x14ac:dyDescent="0.35">
      <c r="A4" s="151">
        <v>0.06</v>
      </c>
      <c r="B4" s="150">
        <v>3.5700000000000003</v>
      </c>
      <c r="C4" s="150">
        <v>4.07</v>
      </c>
      <c r="D4" s="150">
        <v>4.47</v>
      </c>
      <c r="E4" s="150">
        <v>4.7699999999999996</v>
      </c>
      <c r="F4" s="150">
        <v>4.97</v>
      </c>
      <c r="G4" s="150">
        <v>5.07</v>
      </c>
      <c r="H4" s="150">
        <v>4.92</v>
      </c>
      <c r="I4" s="150">
        <v>4.7699999999999996</v>
      </c>
      <c r="J4" s="150">
        <v>4.62</v>
      </c>
      <c r="K4" s="150">
        <v>4.47</v>
      </c>
      <c r="L4" s="150">
        <v>4.32</v>
      </c>
      <c r="M4" s="355">
        <v>4.17</v>
      </c>
      <c r="N4" s="355">
        <v>4.0199999999999996</v>
      </c>
      <c r="O4" s="355">
        <v>3.87</v>
      </c>
      <c r="P4" s="37">
        <v>3.7199999999999998</v>
      </c>
      <c r="Q4" s="150">
        <v>3.5199999999999996</v>
      </c>
      <c r="R4" s="150">
        <v>3.3200000000000003</v>
      </c>
      <c r="S4" s="150">
        <v>3.0199999999999996</v>
      </c>
      <c r="T4" s="150">
        <v>2.67</v>
      </c>
      <c r="U4" s="150">
        <v>2.27</v>
      </c>
      <c r="V4" s="150">
        <v>1.8199999999999998</v>
      </c>
      <c r="W4" s="150">
        <v>1.3199999999999998</v>
      </c>
      <c r="Y4" s="324" t="s">
        <v>1494</v>
      </c>
      <c r="Z4" s="324">
        <v>0</v>
      </c>
      <c r="AA4" s="324">
        <v>5</v>
      </c>
      <c r="AB4" s="324">
        <v>10</v>
      </c>
      <c r="AC4" s="324">
        <v>15</v>
      </c>
      <c r="AD4" s="324">
        <v>20</v>
      </c>
      <c r="AE4" s="324">
        <v>25</v>
      </c>
      <c r="AF4" s="324">
        <v>30</v>
      </c>
      <c r="AG4" s="324">
        <v>35</v>
      </c>
      <c r="AH4" s="324">
        <v>40</v>
      </c>
      <c r="AI4" s="324">
        <v>45</v>
      </c>
      <c r="AJ4" s="324">
        <v>50</v>
      </c>
      <c r="AK4" s="324">
        <v>55</v>
      </c>
      <c r="AL4" s="324">
        <v>60</v>
      </c>
      <c r="AM4" s="324">
        <v>65</v>
      </c>
      <c r="AN4" s="324">
        <v>70</v>
      </c>
      <c r="AO4" s="324">
        <v>75</v>
      </c>
      <c r="AP4" s="324">
        <v>80</v>
      </c>
      <c r="AQ4" s="324">
        <v>85</v>
      </c>
      <c r="AR4" s="324">
        <v>90</v>
      </c>
      <c r="AS4" s="324" t="s">
        <v>1495</v>
      </c>
      <c r="AV4" s="324" t="s">
        <v>1494</v>
      </c>
      <c r="AW4" s="324">
        <v>0</v>
      </c>
      <c r="AX4" s="324">
        <v>5</v>
      </c>
      <c r="AY4" s="324">
        <v>10</v>
      </c>
      <c r="AZ4" s="324">
        <v>15</v>
      </c>
      <c r="BA4" s="324">
        <v>20</v>
      </c>
      <c r="BB4" s="324">
        <v>25</v>
      </c>
      <c r="BC4" s="324">
        <v>30</v>
      </c>
      <c r="BD4" s="324">
        <v>35</v>
      </c>
      <c r="BE4" s="324">
        <v>40</v>
      </c>
      <c r="BF4" s="324">
        <v>45</v>
      </c>
      <c r="BG4" s="324">
        <v>50</v>
      </c>
      <c r="BH4" s="324">
        <v>55</v>
      </c>
      <c r="BI4" s="324">
        <v>60</v>
      </c>
      <c r="BJ4" s="324">
        <v>65</v>
      </c>
      <c r="BK4" s="324">
        <v>70</v>
      </c>
      <c r="BL4" s="324">
        <v>75</v>
      </c>
      <c r="BM4" s="324">
        <v>80</v>
      </c>
      <c r="BN4" s="324">
        <v>85</v>
      </c>
      <c r="BO4" s="324">
        <v>90</v>
      </c>
      <c r="BP4" s="324" t="s">
        <v>1495</v>
      </c>
    </row>
    <row r="5" spans="1:16383" ht="19.5" thickBot="1" x14ac:dyDescent="0.35">
      <c r="A5" s="151">
        <v>7.0000000000000007E-2</v>
      </c>
      <c r="B5" s="150">
        <v>3.92</v>
      </c>
      <c r="C5" s="150">
        <v>4.42</v>
      </c>
      <c r="D5" s="150">
        <v>4.82</v>
      </c>
      <c r="E5" s="150">
        <v>5.12</v>
      </c>
      <c r="F5" s="150">
        <v>5.32</v>
      </c>
      <c r="G5" s="150">
        <v>5.42</v>
      </c>
      <c r="H5" s="150">
        <v>5.27</v>
      </c>
      <c r="I5" s="150">
        <v>5.12</v>
      </c>
      <c r="J5" s="150">
        <v>4.97</v>
      </c>
      <c r="K5" s="150">
        <v>4.82</v>
      </c>
      <c r="L5" s="150">
        <v>4.67</v>
      </c>
      <c r="M5" s="355">
        <v>4.5199999999999996</v>
      </c>
      <c r="N5" s="355">
        <v>4.37</v>
      </c>
      <c r="O5" s="355">
        <v>4.22</v>
      </c>
      <c r="P5" s="37">
        <v>4.07</v>
      </c>
      <c r="Q5" s="150">
        <v>3.87</v>
      </c>
      <c r="R5" s="150">
        <v>3.67</v>
      </c>
      <c r="S5" s="150">
        <v>3.37</v>
      </c>
      <c r="T5" s="150">
        <v>3.0199999999999996</v>
      </c>
      <c r="U5" s="150">
        <v>2.62</v>
      </c>
      <c r="V5" s="150">
        <v>2.17</v>
      </c>
      <c r="W5" s="150">
        <v>1.67</v>
      </c>
      <c r="AV5" s="324">
        <v>9</v>
      </c>
      <c r="AW5" s="324">
        <v>100</v>
      </c>
      <c r="AX5" s="324">
        <v>100</v>
      </c>
      <c r="AY5" s="324">
        <v>100</v>
      </c>
      <c r="AZ5" s="324">
        <v>100</v>
      </c>
      <c r="BA5" s="324">
        <v>100</v>
      </c>
      <c r="BB5" s="324">
        <v>100</v>
      </c>
      <c r="BC5" s="324">
        <v>100</v>
      </c>
      <c r="BD5" s="324">
        <v>100</v>
      </c>
      <c r="BE5" s="324">
        <v>100</v>
      </c>
      <c r="BF5" s="324">
        <v>100</v>
      </c>
      <c r="BG5" s="324">
        <v>100</v>
      </c>
      <c r="BH5" s="324">
        <v>100</v>
      </c>
      <c r="BI5" s="324">
        <v>100</v>
      </c>
      <c r="BJ5" s="324">
        <v>100</v>
      </c>
      <c r="BK5" s="324">
        <v>100</v>
      </c>
      <c r="BL5" s="324">
        <v>100</v>
      </c>
      <c r="BM5" s="324">
        <v>100</v>
      </c>
      <c r="BN5" s="324">
        <v>100</v>
      </c>
      <c r="BO5" s="324">
        <v>99</v>
      </c>
      <c r="BP5" s="324">
        <v>99.95</v>
      </c>
    </row>
    <row r="6" spans="1:16383" ht="19.5" thickBot="1" x14ac:dyDescent="0.35">
      <c r="A6" s="357">
        <v>0.08</v>
      </c>
      <c r="B6" s="356">
        <v>4.24</v>
      </c>
      <c r="C6" s="356">
        <v>4.74</v>
      </c>
      <c r="D6" s="356">
        <v>5.14</v>
      </c>
      <c r="E6" s="356">
        <v>5.44</v>
      </c>
      <c r="F6" s="356">
        <v>5.64</v>
      </c>
      <c r="G6" s="356">
        <v>5.74</v>
      </c>
      <c r="H6" s="356">
        <v>5.59</v>
      </c>
      <c r="I6" s="356">
        <v>5.44</v>
      </c>
      <c r="J6" s="356">
        <v>5.29</v>
      </c>
      <c r="K6" s="356">
        <v>5.14</v>
      </c>
      <c r="L6" s="356">
        <v>4.99</v>
      </c>
      <c r="M6" s="356">
        <v>4.84</v>
      </c>
      <c r="N6" s="356">
        <v>4.6900000000000004</v>
      </c>
      <c r="O6" s="356">
        <v>4.54</v>
      </c>
      <c r="P6" s="356">
        <v>4.3899999999999997</v>
      </c>
      <c r="Q6" s="415">
        <v>4.1900000000000004</v>
      </c>
      <c r="R6" s="356">
        <v>3.99</v>
      </c>
      <c r="S6" s="356">
        <v>3.6900000000000004</v>
      </c>
      <c r="T6" s="356">
        <v>3.34</v>
      </c>
      <c r="U6" s="356">
        <v>2.94</v>
      </c>
      <c r="V6" s="356">
        <v>2.4900000000000002</v>
      </c>
      <c r="W6" s="356">
        <v>1.9900000000000002</v>
      </c>
      <c r="Y6" s="324">
        <v>5</v>
      </c>
      <c r="Z6" s="324">
        <v>100</v>
      </c>
      <c r="AA6" s="324">
        <v>100</v>
      </c>
      <c r="AB6" s="324">
        <v>100</v>
      </c>
      <c r="AC6" s="324">
        <v>100</v>
      </c>
      <c r="AD6" s="324">
        <v>100</v>
      </c>
      <c r="AE6" s="324">
        <v>97</v>
      </c>
      <c r="AF6" s="324">
        <v>93</v>
      </c>
      <c r="AG6" s="324">
        <v>89</v>
      </c>
      <c r="AH6" s="324">
        <v>84</v>
      </c>
      <c r="AI6" s="324">
        <v>80</v>
      </c>
      <c r="AJ6" s="324">
        <v>95</v>
      </c>
      <c r="AK6" s="324">
        <v>90</v>
      </c>
      <c r="AL6" s="324">
        <v>85</v>
      </c>
      <c r="AM6" s="324">
        <v>81</v>
      </c>
      <c r="AN6" s="324">
        <v>77</v>
      </c>
      <c r="AO6" s="324">
        <v>72</v>
      </c>
      <c r="AP6" s="324">
        <v>68</v>
      </c>
      <c r="AQ6" s="324">
        <v>63</v>
      </c>
      <c r="AR6" s="324">
        <v>59</v>
      </c>
      <c r="AS6" s="324">
        <v>85.95</v>
      </c>
      <c r="AV6" s="324">
        <v>8.9</v>
      </c>
      <c r="AW6" s="324">
        <v>100</v>
      </c>
      <c r="AX6" s="324">
        <v>100</v>
      </c>
      <c r="AY6" s="324">
        <v>100</v>
      </c>
      <c r="AZ6" s="324">
        <v>100</v>
      </c>
      <c r="BA6" s="324">
        <v>100</v>
      </c>
      <c r="BB6" s="324">
        <v>100</v>
      </c>
      <c r="BC6" s="324">
        <v>100</v>
      </c>
      <c r="BD6" s="324">
        <v>100</v>
      </c>
      <c r="BE6" s="324">
        <v>100</v>
      </c>
      <c r="BF6" s="324">
        <v>100</v>
      </c>
      <c r="BG6" s="324">
        <v>100</v>
      </c>
      <c r="BH6" s="324">
        <v>100</v>
      </c>
      <c r="BI6" s="324">
        <v>100</v>
      </c>
      <c r="BJ6" s="324">
        <v>100</v>
      </c>
      <c r="BK6" s="324">
        <v>100</v>
      </c>
      <c r="BL6" s="324">
        <v>100</v>
      </c>
      <c r="BM6" s="324">
        <v>100</v>
      </c>
      <c r="BN6" s="324">
        <v>100</v>
      </c>
      <c r="BO6" s="324">
        <v>98</v>
      </c>
      <c r="BP6" s="324">
        <v>99.89</v>
      </c>
    </row>
    <row r="7" spans="1:16383" ht="19.5" thickBot="1" x14ac:dyDescent="0.35">
      <c r="A7" s="151">
        <v>0.09</v>
      </c>
      <c r="B7" s="150">
        <v>4.53</v>
      </c>
      <c r="C7" s="150">
        <v>5.03</v>
      </c>
      <c r="D7" s="150">
        <v>5.43</v>
      </c>
      <c r="E7" s="150">
        <v>5.73</v>
      </c>
      <c r="F7" s="150">
        <v>5.93</v>
      </c>
      <c r="G7" s="150">
        <v>6.03</v>
      </c>
      <c r="H7" s="150">
        <v>5.88</v>
      </c>
      <c r="I7" s="150">
        <v>5.73</v>
      </c>
      <c r="J7" s="150">
        <v>5.58</v>
      </c>
      <c r="K7" s="150">
        <v>5.43</v>
      </c>
      <c r="L7" s="150">
        <v>5.28</v>
      </c>
      <c r="M7" s="355">
        <v>5.13</v>
      </c>
      <c r="N7" s="355">
        <v>4.9800000000000004</v>
      </c>
      <c r="O7" s="355">
        <v>4.83</v>
      </c>
      <c r="P7" s="37">
        <v>4.68</v>
      </c>
      <c r="Q7" s="150">
        <v>4.4800000000000004</v>
      </c>
      <c r="R7" s="150">
        <v>4.28</v>
      </c>
      <c r="S7" s="150">
        <v>3.9800000000000004</v>
      </c>
      <c r="T7" s="150">
        <v>3.63</v>
      </c>
      <c r="U7" s="150">
        <v>3.2300000000000004</v>
      </c>
      <c r="V7" s="150">
        <v>2.78</v>
      </c>
      <c r="W7" s="150">
        <v>2.2799999999999998</v>
      </c>
      <c r="AV7" s="324">
        <v>8.8000000000000007</v>
      </c>
      <c r="AW7" s="324">
        <v>100</v>
      </c>
      <c r="AX7" s="324">
        <v>100</v>
      </c>
      <c r="AY7" s="324">
        <v>100</v>
      </c>
      <c r="AZ7" s="324">
        <v>100</v>
      </c>
      <c r="BA7" s="324">
        <v>100</v>
      </c>
      <c r="BB7" s="324">
        <v>100</v>
      </c>
      <c r="BC7" s="324">
        <v>100</v>
      </c>
      <c r="BD7" s="324">
        <v>100</v>
      </c>
      <c r="BE7" s="324">
        <v>100</v>
      </c>
      <c r="BF7" s="324">
        <v>100</v>
      </c>
      <c r="BG7" s="324">
        <v>100</v>
      </c>
      <c r="BH7" s="324">
        <v>100</v>
      </c>
      <c r="BI7" s="324">
        <v>100</v>
      </c>
      <c r="BJ7" s="324">
        <v>100</v>
      </c>
      <c r="BK7" s="324">
        <v>100</v>
      </c>
      <c r="BL7" s="324">
        <v>100</v>
      </c>
      <c r="BM7" s="324">
        <v>100</v>
      </c>
      <c r="BN7" s="324">
        <v>100</v>
      </c>
      <c r="BO7" s="324">
        <v>97</v>
      </c>
      <c r="BP7" s="324">
        <v>99.84</v>
      </c>
    </row>
    <row r="8" spans="1:16383" ht="19.5" thickBot="1" x14ac:dyDescent="0.35">
      <c r="A8" s="151">
        <v>0.1</v>
      </c>
      <c r="B8" s="150">
        <v>4.8099999999999996</v>
      </c>
      <c r="C8" s="150">
        <v>5.31</v>
      </c>
      <c r="D8" s="150">
        <v>5.71</v>
      </c>
      <c r="E8" s="150">
        <v>6.01</v>
      </c>
      <c r="F8" s="150">
        <v>6.21</v>
      </c>
      <c r="G8" s="150">
        <v>6.31</v>
      </c>
      <c r="H8" s="150">
        <v>6.16</v>
      </c>
      <c r="I8" s="150">
        <v>6.01</v>
      </c>
      <c r="J8" s="150">
        <v>5.86</v>
      </c>
      <c r="K8" s="150">
        <v>5.71</v>
      </c>
      <c r="L8" s="150">
        <v>5.56</v>
      </c>
      <c r="M8" s="355">
        <v>5.41</v>
      </c>
      <c r="N8" s="355">
        <v>5.26</v>
      </c>
      <c r="O8" s="355">
        <v>5.1100000000000003</v>
      </c>
      <c r="P8" s="37">
        <v>4.96</v>
      </c>
      <c r="Q8" s="150">
        <v>4.76</v>
      </c>
      <c r="R8" s="150">
        <v>4.5599999999999996</v>
      </c>
      <c r="S8" s="150">
        <v>4.26</v>
      </c>
      <c r="T8" s="150">
        <v>3.91</v>
      </c>
      <c r="U8" s="150">
        <v>3.51</v>
      </c>
      <c r="V8" s="150">
        <v>3.0599999999999996</v>
      </c>
      <c r="W8" s="150">
        <v>2.56</v>
      </c>
      <c r="AV8" s="324">
        <v>8.6999999999999993</v>
      </c>
      <c r="AW8" s="324">
        <v>100</v>
      </c>
      <c r="AX8" s="324">
        <v>100</v>
      </c>
      <c r="AY8" s="324">
        <v>100</v>
      </c>
      <c r="AZ8" s="324">
        <v>100</v>
      </c>
      <c r="BA8" s="324">
        <v>100</v>
      </c>
      <c r="BB8" s="324">
        <v>100</v>
      </c>
      <c r="BC8" s="324">
        <v>100</v>
      </c>
      <c r="BD8" s="324">
        <v>100</v>
      </c>
      <c r="BE8" s="324">
        <v>100</v>
      </c>
      <c r="BF8" s="324">
        <v>100</v>
      </c>
      <c r="BG8" s="324">
        <v>100</v>
      </c>
      <c r="BH8" s="324">
        <v>100</v>
      </c>
      <c r="BI8" s="324">
        <v>100</v>
      </c>
      <c r="BJ8" s="324">
        <v>100</v>
      </c>
      <c r="BK8" s="324">
        <v>100</v>
      </c>
      <c r="BL8" s="324">
        <v>100</v>
      </c>
      <c r="BM8" s="324">
        <v>100</v>
      </c>
      <c r="BN8" s="324">
        <v>100</v>
      </c>
      <c r="BO8" s="324">
        <v>96</v>
      </c>
      <c r="BP8" s="324">
        <v>99.79</v>
      </c>
    </row>
    <row r="9" spans="1:16383" ht="19.5" thickBot="1" x14ac:dyDescent="0.35">
      <c r="A9" s="151">
        <v>0.11</v>
      </c>
      <c r="B9" s="150">
        <v>5.0599999999999996</v>
      </c>
      <c r="C9" s="150">
        <v>5.56</v>
      </c>
      <c r="D9" s="150">
        <v>5.96</v>
      </c>
      <c r="E9" s="150">
        <v>6.26</v>
      </c>
      <c r="F9" s="150">
        <v>6.46</v>
      </c>
      <c r="G9" s="150">
        <v>6.56</v>
      </c>
      <c r="H9" s="150">
        <v>6.41</v>
      </c>
      <c r="I9" s="150">
        <v>6.26</v>
      </c>
      <c r="J9" s="150">
        <v>6.11</v>
      </c>
      <c r="K9" s="150">
        <v>5.96</v>
      </c>
      <c r="L9" s="150">
        <v>5.81</v>
      </c>
      <c r="M9" s="355">
        <v>5.66</v>
      </c>
      <c r="N9" s="355">
        <v>5.51</v>
      </c>
      <c r="O9" s="355">
        <v>5.36</v>
      </c>
      <c r="P9" s="37">
        <v>5.21</v>
      </c>
      <c r="Q9" s="150">
        <v>5.01</v>
      </c>
      <c r="R9" s="150">
        <v>4.8099999999999996</v>
      </c>
      <c r="S9" s="150">
        <v>4.51</v>
      </c>
      <c r="T9" s="150">
        <v>4.16</v>
      </c>
      <c r="U9" s="150">
        <v>3.76</v>
      </c>
      <c r="V9" s="150">
        <v>3.3099999999999996</v>
      </c>
      <c r="W9" s="150">
        <v>2.81</v>
      </c>
      <c r="AV9" s="324">
        <v>8.6</v>
      </c>
      <c r="AW9" s="324">
        <v>100</v>
      </c>
      <c r="AX9" s="324">
        <v>100</v>
      </c>
      <c r="AY9" s="324">
        <v>100</v>
      </c>
      <c r="AZ9" s="324">
        <v>100</v>
      </c>
      <c r="BA9" s="324">
        <v>100</v>
      </c>
      <c r="BB9" s="324">
        <v>100</v>
      </c>
      <c r="BC9" s="324">
        <v>100</v>
      </c>
      <c r="BD9" s="324">
        <v>100</v>
      </c>
      <c r="BE9" s="324">
        <v>100</v>
      </c>
      <c r="BF9" s="324">
        <v>100</v>
      </c>
      <c r="BG9" s="324">
        <v>100</v>
      </c>
      <c r="BH9" s="324">
        <v>100</v>
      </c>
      <c r="BI9" s="324">
        <v>100</v>
      </c>
      <c r="BJ9" s="324">
        <v>100</v>
      </c>
      <c r="BK9" s="324">
        <v>100</v>
      </c>
      <c r="BL9" s="324">
        <v>100</v>
      </c>
      <c r="BM9" s="324">
        <v>100</v>
      </c>
      <c r="BN9" s="324">
        <v>98</v>
      </c>
      <c r="BO9" s="324">
        <v>95</v>
      </c>
      <c r="BP9" s="324">
        <v>99.63</v>
      </c>
    </row>
    <row r="10" spans="1:16383" s="2" customFormat="1" ht="19.5" thickBot="1" x14ac:dyDescent="0.35">
      <c r="A10" s="154">
        <v>0.12</v>
      </c>
      <c r="B10" s="155">
        <v>5.3</v>
      </c>
      <c r="C10" s="155">
        <v>5.8</v>
      </c>
      <c r="D10" s="155">
        <v>6.2</v>
      </c>
      <c r="E10" s="155">
        <v>6.5</v>
      </c>
      <c r="F10" s="155">
        <v>6.7</v>
      </c>
      <c r="G10" s="155">
        <v>6.8</v>
      </c>
      <c r="H10" s="155">
        <v>6.65</v>
      </c>
      <c r="I10" s="155">
        <v>6.5</v>
      </c>
      <c r="J10" s="155">
        <v>6.35</v>
      </c>
      <c r="K10" s="155">
        <v>6.2</v>
      </c>
      <c r="L10" s="155">
        <v>6.05</v>
      </c>
      <c r="M10" s="356">
        <v>5.9</v>
      </c>
      <c r="N10" s="356">
        <v>5.75</v>
      </c>
      <c r="O10" s="356">
        <v>5.6</v>
      </c>
      <c r="P10" s="163">
        <v>5.45</v>
      </c>
      <c r="Q10" s="4">
        <v>5.25</v>
      </c>
      <c r="R10" s="4">
        <v>5.05</v>
      </c>
      <c r="S10" s="4">
        <v>4.75</v>
      </c>
      <c r="T10" s="4">
        <v>4.4000000000000004</v>
      </c>
      <c r="U10" s="4">
        <v>4</v>
      </c>
      <c r="V10" s="4">
        <v>3.55</v>
      </c>
      <c r="W10" s="4">
        <v>3.05</v>
      </c>
      <c r="Y10" s="324">
        <v>6</v>
      </c>
      <c r="Z10" s="324">
        <v>100</v>
      </c>
      <c r="AA10" s="324">
        <v>100</v>
      </c>
      <c r="AB10" s="324">
        <v>100</v>
      </c>
      <c r="AC10" s="324">
        <v>100</v>
      </c>
      <c r="AD10" s="324">
        <v>100</v>
      </c>
      <c r="AE10" s="324">
        <v>100</v>
      </c>
      <c r="AF10" s="324">
        <v>98</v>
      </c>
      <c r="AG10" s="324">
        <v>94</v>
      </c>
      <c r="AH10" s="324">
        <v>90</v>
      </c>
      <c r="AI10" s="324">
        <v>86</v>
      </c>
      <c r="AJ10" s="324">
        <v>100</v>
      </c>
      <c r="AK10" s="324">
        <v>97</v>
      </c>
      <c r="AL10" s="324">
        <v>93</v>
      </c>
      <c r="AM10" s="324">
        <v>89</v>
      </c>
      <c r="AN10" s="324">
        <v>85</v>
      </c>
      <c r="AO10" s="324">
        <v>81</v>
      </c>
      <c r="AP10" s="324">
        <v>77</v>
      </c>
      <c r="AQ10" s="324">
        <v>73</v>
      </c>
      <c r="AR10" s="324">
        <v>69</v>
      </c>
      <c r="AS10" s="324">
        <v>91.16</v>
      </c>
      <c r="AV10" s="324">
        <v>8.5</v>
      </c>
      <c r="AW10" s="324">
        <v>100</v>
      </c>
      <c r="AX10" s="324">
        <v>100</v>
      </c>
      <c r="AY10" s="324">
        <v>100</v>
      </c>
      <c r="AZ10" s="324">
        <v>100</v>
      </c>
      <c r="BA10" s="324">
        <v>100</v>
      </c>
      <c r="BB10" s="324">
        <v>100</v>
      </c>
      <c r="BC10" s="324">
        <v>100</v>
      </c>
      <c r="BD10" s="324">
        <v>100</v>
      </c>
      <c r="BE10" s="324">
        <v>100</v>
      </c>
      <c r="BF10" s="324">
        <v>100</v>
      </c>
      <c r="BG10" s="324">
        <v>100</v>
      </c>
      <c r="BH10" s="324">
        <v>100</v>
      </c>
      <c r="BI10" s="324">
        <v>100</v>
      </c>
      <c r="BJ10" s="324">
        <v>100</v>
      </c>
      <c r="BK10" s="324">
        <v>100</v>
      </c>
      <c r="BL10" s="324">
        <v>100</v>
      </c>
      <c r="BM10" s="324">
        <v>100</v>
      </c>
      <c r="BN10" s="324">
        <v>98</v>
      </c>
      <c r="BO10" s="324">
        <v>94</v>
      </c>
      <c r="BP10" s="324">
        <v>99.58</v>
      </c>
    </row>
    <row r="11" spans="1:16383" ht="19.5" thickBot="1" x14ac:dyDescent="0.35">
      <c r="A11" s="151">
        <v>0.13</v>
      </c>
      <c r="B11" s="150">
        <v>5.52</v>
      </c>
      <c r="C11" s="150">
        <v>6.02</v>
      </c>
      <c r="D11" s="150">
        <v>6.42</v>
      </c>
      <c r="E11" s="150">
        <v>6.72</v>
      </c>
      <c r="F11" s="150">
        <v>6.92</v>
      </c>
      <c r="G11" s="150">
        <v>7.02</v>
      </c>
      <c r="H11" s="150">
        <v>6.87</v>
      </c>
      <c r="I11" s="150">
        <v>6.72</v>
      </c>
      <c r="J11" s="150">
        <v>6.57</v>
      </c>
      <c r="K11" s="150">
        <v>6.42</v>
      </c>
      <c r="L11" s="150">
        <v>6.27</v>
      </c>
      <c r="M11" s="355">
        <v>6.12</v>
      </c>
      <c r="N11" s="355">
        <v>5.97</v>
      </c>
      <c r="O11" s="355">
        <v>5.82</v>
      </c>
      <c r="P11" s="37">
        <v>5.67</v>
      </c>
      <c r="Q11" s="150">
        <v>5.47</v>
      </c>
      <c r="R11" s="150">
        <v>5.27</v>
      </c>
      <c r="S11" s="150">
        <v>4.97</v>
      </c>
      <c r="T11" s="150">
        <v>4.62</v>
      </c>
      <c r="U11" s="150">
        <v>4.22</v>
      </c>
      <c r="V11" s="150">
        <v>3.7699999999999996</v>
      </c>
      <c r="W11" s="150">
        <v>3.2699999999999996</v>
      </c>
      <c r="AV11" s="324">
        <v>8.4</v>
      </c>
      <c r="AW11" s="324">
        <v>100</v>
      </c>
      <c r="AX11" s="324">
        <v>100</v>
      </c>
      <c r="AY11" s="324">
        <v>100</v>
      </c>
      <c r="AZ11" s="324">
        <v>100</v>
      </c>
      <c r="BA11" s="324">
        <v>100</v>
      </c>
      <c r="BB11" s="324">
        <v>100</v>
      </c>
      <c r="BC11" s="324">
        <v>100</v>
      </c>
      <c r="BD11" s="324">
        <v>100</v>
      </c>
      <c r="BE11" s="324">
        <v>100</v>
      </c>
      <c r="BF11" s="324">
        <v>100</v>
      </c>
      <c r="BG11" s="324">
        <v>100</v>
      </c>
      <c r="BH11" s="324">
        <v>100</v>
      </c>
      <c r="BI11" s="324">
        <v>100</v>
      </c>
      <c r="BJ11" s="324">
        <v>100</v>
      </c>
      <c r="BK11" s="324">
        <v>100</v>
      </c>
      <c r="BL11" s="324">
        <v>100</v>
      </c>
      <c r="BM11" s="324">
        <v>99</v>
      </c>
      <c r="BN11" s="324">
        <v>96</v>
      </c>
      <c r="BO11" s="324">
        <v>93</v>
      </c>
      <c r="BP11" s="324">
        <v>99.37</v>
      </c>
    </row>
    <row r="12" spans="1:16383" ht="19.5" thickBot="1" x14ac:dyDescent="0.35">
      <c r="A12" s="151">
        <v>0.14000000000000001</v>
      </c>
      <c r="B12" s="150">
        <v>5.72</v>
      </c>
      <c r="C12" s="150">
        <v>6.22</v>
      </c>
      <c r="D12" s="150">
        <v>6.62</v>
      </c>
      <c r="E12" s="150">
        <v>6.92</v>
      </c>
      <c r="F12" s="150">
        <v>7.1199999999999992</v>
      </c>
      <c r="G12" s="150">
        <v>7.2200000000000006</v>
      </c>
      <c r="H12" s="150">
        <v>7.07</v>
      </c>
      <c r="I12" s="150">
        <v>6.92</v>
      </c>
      <c r="J12" s="150">
        <v>6.77</v>
      </c>
      <c r="K12" s="150">
        <v>6.62</v>
      </c>
      <c r="L12" s="150">
        <v>6.47</v>
      </c>
      <c r="M12" s="355">
        <v>6.32</v>
      </c>
      <c r="N12" s="355">
        <v>6.17</v>
      </c>
      <c r="O12" s="355">
        <v>6.02</v>
      </c>
      <c r="P12" s="37">
        <v>5.87</v>
      </c>
      <c r="Q12" s="150">
        <v>5.67</v>
      </c>
      <c r="R12" s="150">
        <v>5.47</v>
      </c>
      <c r="S12" s="150">
        <v>5.17</v>
      </c>
      <c r="T12" s="150">
        <v>4.82</v>
      </c>
      <c r="U12" s="150">
        <v>4.42</v>
      </c>
      <c r="V12" s="150">
        <v>3.9699999999999998</v>
      </c>
      <c r="W12" s="150">
        <v>3.4699999999999998</v>
      </c>
      <c r="AV12" s="324">
        <v>8.3000000000000007</v>
      </c>
      <c r="AW12" s="324">
        <v>100</v>
      </c>
      <c r="AX12" s="324">
        <v>100</v>
      </c>
      <c r="AY12" s="324">
        <v>100</v>
      </c>
      <c r="AZ12" s="324">
        <v>100</v>
      </c>
      <c r="BA12" s="324">
        <v>100</v>
      </c>
      <c r="BB12" s="324">
        <v>100</v>
      </c>
      <c r="BC12" s="324">
        <v>100</v>
      </c>
      <c r="BD12" s="324">
        <v>100</v>
      </c>
      <c r="BE12" s="324">
        <v>100</v>
      </c>
      <c r="BF12" s="324">
        <v>100</v>
      </c>
      <c r="BG12" s="324">
        <v>100</v>
      </c>
      <c r="BH12" s="324">
        <v>100</v>
      </c>
      <c r="BI12" s="324">
        <v>100</v>
      </c>
      <c r="BJ12" s="324">
        <v>100</v>
      </c>
      <c r="BK12" s="324">
        <v>100</v>
      </c>
      <c r="BL12" s="324">
        <v>100</v>
      </c>
      <c r="BM12" s="324">
        <v>99</v>
      </c>
      <c r="BN12" s="324">
        <v>95</v>
      </c>
      <c r="BO12" s="324">
        <v>92</v>
      </c>
      <c r="BP12" s="324">
        <v>99.26</v>
      </c>
    </row>
    <row r="13" spans="1:16383" s="325" customFormat="1" ht="19.5" thickBot="1" x14ac:dyDescent="0.35">
      <c r="A13" s="151">
        <v>0.15</v>
      </c>
      <c r="B13" s="414">
        <v>5.91</v>
      </c>
      <c r="C13" s="414">
        <v>6.41</v>
      </c>
      <c r="D13" s="414">
        <v>6.81</v>
      </c>
      <c r="E13" s="414">
        <v>7.1099999999999994</v>
      </c>
      <c r="F13" s="414">
        <v>7.3100000000000005</v>
      </c>
      <c r="G13" s="414">
        <v>7.41</v>
      </c>
      <c r="H13" s="414">
        <v>7.26</v>
      </c>
      <c r="I13" s="414">
        <v>7.1099999999999994</v>
      </c>
      <c r="J13" s="414">
        <v>6.96</v>
      </c>
      <c r="K13" s="414">
        <v>6.81</v>
      </c>
      <c r="L13" s="414">
        <v>6.66</v>
      </c>
      <c r="M13" s="355">
        <v>6.51</v>
      </c>
      <c r="N13" s="355">
        <v>6.36</v>
      </c>
      <c r="O13" s="355">
        <v>6.21</v>
      </c>
      <c r="P13" s="37">
        <v>6.06</v>
      </c>
      <c r="Q13" s="414">
        <v>5.86</v>
      </c>
      <c r="R13" s="414">
        <v>5.66</v>
      </c>
      <c r="S13" s="414">
        <v>5.36</v>
      </c>
      <c r="T13" s="414">
        <v>5.01</v>
      </c>
      <c r="U13" s="414">
        <v>4.6100000000000003</v>
      </c>
      <c r="V13" s="414">
        <v>4.16</v>
      </c>
      <c r="W13" s="414">
        <v>3.66</v>
      </c>
      <c r="Y13" s="324">
        <v>6.7</v>
      </c>
      <c r="Z13" s="324">
        <v>100</v>
      </c>
      <c r="AA13" s="324">
        <v>100</v>
      </c>
      <c r="AB13" s="324">
        <v>100</v>
      </c>
      <c r="AC13" s="324">
        <v>100</v>
      </c>
      <c r="AD13" s="324">
        <v>100</v>
      </c>
      <c r="AE13" s="324">
        <v>100</v>
      </c>
      <c r="AF13" s="324">
        <v>100</v>
      </c>
      <c r="AG13" s="324">
        <v>99</v>
      </c>
      <c r="AH13" s="324">
        <v>95</v>
      </c>
      <c r="AI13" s="324">
        <v>91</v>
      </c>
      <c r="AJ13" s="324">
        <v>100</v>
      </c>
      <c r="AK13" s="324">
        <v>100</v>
      </c>
      <c r="AL13" s="324">
        <v>99</v>
      </c>
      <c r="AM13" s="324">
        <v>95</v>
      </c>
      <c r="AN13" s="324">
        <v>91</v>
      </c>
      <c r="AO13" s="324">
        <v>87</v>
      </c>
      <c r="AP13" s="324">
        <v>84</v>
      </c>
      <c r="AQ13" s="324">
        <v>80</v>
      </c>
      <c r="AR13" s="324">
        <v>76</v>
      </c>
      <c r="AS13" s="324">
        <v>94.58</v>
      </c>
      <c r="AV13" s="324">
        <v>8.1999999999999993</v>
      </c>
      <c r="AW13" s="324">
        <v>100</v>
      </c>
      <c r="AX13" s="324">
        <v>100</v>
      </c>
      <c r="AY13" s="324">
        <v>100</v>
      </c>
      <c r="AZ13" s="324">
        <v>100</v>
      </c>
      <c r="BA13" s="324">
        <v>100</v>
      </c>
      <c r="BB13" s="324">
        <v>100</v>
      </c>
      <c r="BC13" s="324">
        <v>100</v>
      </c>
      <c r="BD13" s="324">
        <v>100</v>
      </c>
      <c r="BE13" s="324">
        <v>100</v>
      </c>
      <c r="BF13" s="324">
        <v>100</v>
      </c>
      <c r="BG13" s="324">
        <v>100</v>
      </c>
      <c r="BH13" s="324">
        <v>100</v>
      </c>
      <c r="BI13" s="324">
        <v>100</v>
      </c>
      <c r="BJ13" s="324">
        <v>100</v>
      </c>
      <c r="BK13" s="324">
        <v>100</v>
      </c>
      <c r="BL13" s="324">
        <v>100</v>
      </c>
      <c r="BM13" s="324">
        <v>97</v>
      </c>
      <c r="BN13" s="324">
        <v>94</v>
      </c>
      <c r="BO13" s="324">
        <v>91</v>
      </c>
      <c r="BP13" s="324">
        <v>99.05</v>
      </c>
    </row>
    <row r="14" spans="1:16383" ht="19.5" thickBot="1" x14ac:dyDescent="0.35">
      <c r="A14" s="151">
        <v>0.16</v>
      </c>
      <c r="B14" s="150">
        <v>6.09</v>
      </c>
      <c r="C14" s="150">
        <v>6.59</v>
      </c>
      <c r="D14" s="150">
        <v>6.99</v>
      </c>
      <c r="E14" s="150">
        <v>7.2899999999999991</v>
      </c>
      <c r="F14" s="150">
        <v>7.49</v>
      </c>
      <c r="G14" s="150">
        <v>7.59</v>
      </c>
      <c r="H14" s="150">
        <v>7.4399999999999995</v>
      </c>
      <c r="I14" s="150">
        <v>7.2899999999999991</v>
      </c>
      <c r="J14" s="150">
        <v>7.1400000000000006</v>
      </c>
      <c r="K14" s="150">
        <v>6.99</v>
      </c>
      <c r="L14" s="150">
        <v>6.84</v>
      </c>
      <c r="M14" s="355">
        <v>6.69</v>
      </c>
      <c r="N14" s="355">
        <v>6.54</v>
      </c>
      <c r="O14" s="355">
        <v>6.39</v>
      </c>
      <c r="P14" s="37">
        <v>6.24</v>
      </c>
      <c r="Q14" s="150">
        <v>6.04</v>
      </c>
      <c r="R14" s="150">
        <v>5.84</v>
      </c>
      <c r="S14" s="150">
        <v>5.54</v>
      </c>
      <c r="T14" s="150">
        <v>5.19</v>
      </c>
      <c r="U14" s="150">
        <v>4.79</v>
      </c>
      <c r="V14" s="150">
        <v>4.34</v>
      </c>
      <c r="W14" s="150">
        <v>3.84</v>
      </c>
      <c r="AV14" s="324">
        <v>8.1</v>
      </c>
      <c r="AW14" s="324">
        <v>100</v>
      </c>
      <c r="AX14" s="324">
        <v>100</v>
      </c>
      <c r="AY14" s="324">
        <v>100</v>
      </c>
      <c r="AZ14" s="324">
        <v>100</v>
      </c>
      <c r="BA14" s="324">
        <v>100</v>
      </c>
      <c r="BB14" s="324">
        <v>100</v>
      </c>
      <c r="BC14" s="324">
        <v>100</v>
      </c>
      <c r="BD14" s="324">
        <v>100</v>
      </c>
      <c r="BE14" s="324">
        <v>100</v>
      </c>
      <c r="BF14" s="324">
        <v>100</v>
      </c>
      <c r="BG14" s="324">
        <v>100</v>
      </c>
      <c r="BH14" s="324">
        <v>100</v>
      </c>
      <c r="BI14" s="324">
        <v>100</v>
      </c>
      <c r="BJ14" s="324">
        <v>100</v>
      </c>
      <c r="BK14" s="324">
        <v>100</v>
      </c>
      <c r="BL14" s="324">
        <v>100</v>
      </c>
      <c r="BM14" s="324">
        <v>97</v>
      </c>
      <c r="BN14" s="324">
        <v>93</v>
      </c>
      <c r="BO14" s="324">
        <v>90</v>
      </c>
      <c r="BP14" s="324">
        <v>98.95</v>
      </c>
    </row>
    <row r="15" spans="1:16383" ht="19.5" thickBot="1" x14ac:dyDescent="0.35">
      <c r="A15" s="357">
        <v>0.17</v>
      </c>
      <c r="B15" s="356">
        <v>6.25</v>
      </c>
      <c r="C15" s="356">
        <v>6.75</v>
      </c>
      <c r="D15" s="356">
        <v>7.15</v>
      </c>
      <c r="E15" s="356">
        <v>7.4499999999999993</v>
      </c>
      <c r="F15" s="356">
        <v>7.65</v>
      </c>
      <c r="G15" s="356">
        <v>7.75</v>
      </c>
      <c r="H15" s="356">
        <v>7.6</v>
      </c>
      <c r="I15" s="356">
        <v>7.4499999999999993</v>
      </c>
      <c r="J15" s="356">
        <v>7.3000000000000007</v>
      </c>
      <c r="K15" s="356">
        <v>7.15</v>
      </c>
      <c r="L15" s="356">
        <v>7</v>
      </c>
      <c r="M15" s="356">
        <v>6.85</v>
      </c>
      <c r="N15" s="356">
        <v>6.7</v>
      </c>
      <c r="O15" s="356">
        <v>6.55</v>
      </c>
      <c r="P15" s="356">
        <v>6.4</v>
      </c>
      <c r="Q15" s="415">
        <v>6.2</v>
      </c>
      <c r="R15" s="356">
        <v>6</v>
      </c>
      <c r="S15" s="356">
        <v>5.7</v>
      </c>
      <c r="T15" s="356">
        <v>5.35</v>
      </c>
      <c r="U15" s="356">
        <v>4.95</v>
      </c>
      <c r="V15" s="356">
        <v>4.5</v>
      </c>
      <c r="W15" s="356">
        <v>4</v>
      </c>
      <c r="Y15" s="324">
        <v>7</v>
      </c>
      <c r="Z15" s="324">
        <v>100</v>
      </c>
      <c r="AA15" s="324">
        <v>100</v>
      </c>
      <c r="AB15" s="324">
        <v>100</v>
      </c>
      <c r="AC15" s="324">
        <v>100</v>
      </c>
      <c r="AD15" s="324">
        <v>100</v>
      </c>
      <c r="AE15" s="324">
        <v>100</v>
      </c>
      <c r="AF15" s="324">
        <v>100</v>
      </c>
      <c r="AG15" s="324">
        <v>100</v>
      </c>
      <c r="AH15" s="324">
        <v>96</v>
      </c>
      <c r="AI15" s="324">
        <v>93</v>
      </c>
      <c r="AJ15" s="324">
        <v>100</v>
      </c>
      <c r="AK15" s="324">
        <v>100</v>
      </c>
      <c r="AL15" s="324">
        <v>100</v>
      </c>
      <c r="AM15" s="324">
        <v>99</v>
      </c>
      <c r="AN15" s="324">
        <v>96</v>
      </c>
      <c r="AO15" s="324">
        <v>89</v>
      </c>
      <c r="AP15" s="324">
        <v>86</v>
      </c>
      <c r="AQ15" s="324">
        <v>82</v>
      </c>
      <c r="AR15" s="324">
        <v>79</v>
      </c>
      <c r="AS15" s="324">
        <v>95.79</v>
      </c>
      <c r="AV15" s="324">
        <v>8</v>
      </c>
      <c r="AW15" s="324">
        <v>100</v>
      </c>
      <c r="AX15" s="324">
        <v>100</v>
      </c>
      <c r="AY15" s="324">
        <v>100</v>
      </c>
      <c r="AZ15" s="324">
        <v>100</v>
      </c>
      <c r="BA15" s="324">
        <v>100</v>
      </c>
      <c r="BB15" s="324">
        <v>100</v>
      </c>
      <c r="BC15" s="324">
        <v>100</v>
      </c>
      <c r="BD15" s="324">
        <v>100</v>
      </c>
      <c r="BE15" s="324">
        <v>100</v>
      </c>
      <c r="BF15" s="324">
        <v>99</v>
      </c>
      <c r="BG15" s="324">
        <v>100</v>
      </c>
      <c r="BH15" s="324">
        <v>100</v>
      </c>
      <c r="BI15" s="324">
        <v>100</v>
      </c>
      <c r="BJ15" s="324">
        <v>100</v>
      </c>
      <c r="BK15" s="324">
        <v>100</v>
      </c>
      <c r="BL15" s="324">
        <v>99</v>
      </c>
      <c r="BM15" s="324">
        <v>95</v>
      </c>
      <c r="BN15" s="324">
        <v>92</v>
      </c>
      <c r="BO15" s="324">
        <v>89</v>
      </c>
      <c r="BP15" s="324">
        <v>98.63</v>
      </c>
    </row>
    <row r="16" spans="1:16383" ht="19.5" thickBot="1" x14ac:dyDescent="0.35">
      <c r="A16" s="151">
        <v>0.18</v>
      </c>
      <c r="B16" s="150">
        <v>6.4</v>
      </c>
      <c r="C16" s="150">
        <v>6.9</v>
      </c>
      <c r="D16" s="150">
        <v>7.3000000000000007</v>
      </c>
      <c r="E16" s="150">
        <v>7.6</v>
      </c>
      <c r="F16" s="150">
        <v>7.8000000000000007</v>
      </c>
      <c r="G16" s="150">
        <v>7.9</v>
      </c>
      <c r="H16" s="150">
        <v>7.75</v>
      </c>
      <c r="I16" s="150">
        <v>7.6</v>
      </c>
      <c r="J16" s="150">
        <v>7.4499999999999993</v>
      </c>
      <c r="K16" s="150">
        <v>7.3000000000000007</v>
      </c>
      <c r="L16" s="150">
        <v>7.15</v>
      </c>
      <c r="M16" s="355">
        <v>7</v>
      </c>
      <c r="N16" s="355">
        <v>6.85</v>
      </c>
      <c r="O16" s="355">
        <v>6.7</v>
      </c>
      <c r="P16" s="37">
        <v>6.55</v>
      </c>
      <c r="Q16" s="150">
        <v>6.35</v>
      </c>
      <c r="R16" s="150">
        <v>6.15</v>
      </c>
      <c r="S16" s="150">
        <v>5.85</v>
      </c>
      <c r="T16" s="150">
        <v>5.5</v>
      </c>
      <c r="U16" s="150">
        <v>5.0999999999999996</v>
      </c>
      <c r="V16" s="150">
        <v>4.6500000000000004</v>
      </c>
      <c r="W16" s="150">
        <v>4.1500000000000004</v>
      </c>
      <c r="AV16" s="324">
        <v>7.9</v>
      </c>
      <c r="AW16" s="324">
        <v>100</v>
      </c>
      <c r="AX16" s="324">
        <v>100</v>
      </c>
      <c r="AY16" s="324">
        <v>100</v>
      </c>
      <c r="AZ16" s="324">
        <v>100</v>
      </c>
      <c r="BA16" s="324">
        <v>100</v>
      </c>
      <c r="BB16" s="324">
        <v>100</v>
      </c>
      <c r="BC16" s="324">
        <v>100</v>
      </c>
      <c r="BD16" s="324">
        <v>100</v>
      </c>
      <c r="BE16" s="324">
        <v>100</v>
      </c>
      <c r="BF16" s="324">
        <v>99</v>
      </c>
      <c r="BG16" s="324">
        <v>100</v>
      </c>
      <c r="BH16" s="324">
        <v>100</v>
      </c>
      <c r="BI16" s="324">
        <v>100</v>
      </c>
      <c r="BJ16" s="324">
        <v>100</v>
      </c>
      <c r="BK16" s="324">
        <v>100</v>
      </c>
      <c r="BL16" s="324">
        <v>98</v>
      </c>
      <c r="BM16" s="324">
        <v>95</v>
      </c>
      <c r="BN16" s="324">
        <v>92</v>
      </c>
      <c r="BO16" s="324">
        <v>88</v>
      </c>
      <c r="BP16" s="324">
        <v>98.53</v>
      </c>
    </row>
    <row r="17" spans="1:68" ht="19.5" thickBot="1" x14ac:dyDescent="0.35">
      <c r="A17" s="151">
        <v>0.19</v>
      </c>
      <c r="B17" s="150">
        <v>6.54</v>
      </c>
      <c r="C17" s="150">
        <v>7.0399999999999991</v>
      </c>
      <c r="D17" s="150">
        <v>7.4399999999999995</v>
      </c>
      <c r="E17" s="150">
        <v>7.74</v>
      </c>
      <c r="F17" s="150">
        <v>7.9399999999999995</v>
      </c>
      <c r="G17" s="150">
        <v>8.0399999999999991</v>
      </c>
      <c r="H17" s="150">
        <v>7.8900000000000006</v>
      </c>
      <c r="I17" s="150">
        <v>7.74</v>
      </c>
      <c r="J17" s="150">
        <v>7.59</v>
      </c>
      <c r="K17" s="150">
        <v>7.4399999999999995</v>
      </c>
      <c r="L17" s="150">
        <v>7.2899999999999991</v>
      </c>
      <c r="M17" s="466">
        <v>7.1400000000000006</v>
      </c>
      <c r="N17" s="466">
        <v>6.99</v>
      </c>
      <c r="O17" s="466">
        <v>6.84</v>
      </c>
      <c r="P17" s="467">
        <v>6.69</v>
      </c>
      <c r="Q17" s="150">
        <v>6.49</v>
      </c>
      <c r="R17" s="150">
        <v>6.29</v>
      </c>
      <c r="S17" s="150">
        <v>5.99</v>
      </c>
      <c r="T17" s="150">
        <v>5.64</v>
      </c>
      <c r="U17" s="150">
        <v>5.24</v>
      </c>
      <c r="V17" s="150">
        <v>4.79</v>
      </c>
      <c r="W17" s="150">
        <v>4.29</v>
      </c>
      <c r="AV17" s="463">
        <v>7.8</v>
      </c>
      <c r="AW17" s="324">
        <v>100</v>
      </c>
      <c r="AX17" s="324">
        <v>100</v>
      </c>
      <c r="AY17" s="324">
        <v>100</v>
      </c>
      <c r="AZ17" s="324">
        <v>100</v>
      </c>
      <c r="BA17" s="324">
        <v>100</v>
      </c>
      <c r="BB17" s="324">
        <v>100</v>
      </c>
      <c r="BC17" s="324">
        <v>100</v>
      </c>
      <c r="BD17" s="324">
        <v>100</v>
      </c>
      <c r="BE17" s="324">
        <v>100</v>
      </c>
      <c r="BF17" s="324">
        <v>98</v>
      </c>
      <c r="BG17" s="324">
        <v>100</v>
      </c>
      <c r="BH17" s="324">
        <v>100</v>
      </c>
      <c r="BI17" s="324">
        <v>100</v>
      </c>
      <c r="BJ17" s="324">
        <v>100</v>
      </c>
      <c r="BK17" s="324">
        <v>100</v>
      </c>
      <c r="BL17" s="324">
        <v>97</v>
      </c>
      <c r="BM17" s="324">
        <v>94</v>
      </c>
      <c r="BN17" s="324">
        <v>91</v>
      </c>
      <c r="BO17" s="324">
        <v>87</v>
      </c>
      <c r="BP17" s="324">
        <v>98.26</v>
      </c>
    </row>
    <row r="18" spans="1:68" ht="19.5" thickBot="1" x14ac:dyDescent="0.35">
      <c r="A18" s="357">
        <v>0.2</v>
      </c>
      <c r="B18" s="355">
        <v>6.67</v>
      </c>
      <c r="C18" s="355">
        <v>7.17</v>
      </c>
      <c r="D18" s="355">
        <v>7.57</v>
      </c>
      <c r="E18" s="355">
        <v>7.8699999999999992</v>
      </c>
      <c r="F18" s="355">
        <v>8.07</v>
      </c>
      <c r="G18" s="355">
        <v>8.17</v>
      </c>
      <c r="H18" s="355">
        <v>8.02</v>
      </c>
      <c r="I18" s="355">
        <v>7.8699999999999992</v>
      </c>
      <c r="J18" s="355">
        <v>7.7200000000000006</v>
      </c>
      <c r="K18" s="355">
        <v>7.57</v>
      </c>
      <c r="L18" s="355">
        <v>7.42</v>
      </c>
      <c r="M18" s="355">
        <v>7.27</v>
      </c>
      <c r="N18" s="355">
        <v>7.1199999999999992</v>
      </c>
      <c r="O18" s="355">
        <v>6.97</v>
      </c>
      <c r="P18" s="355">
        <v>6.82</v>
      </c>
      <c r="Q18" s="355">
        <v>6.62</v>
      </c>
      <c r="R18" s="355">
        <v>6.42</v>
      </c>
      <c r="S18" s="355">
        <v>6.12</v>
      </c>
      <c r="T18" s="355">
        <v>5.77</v>
      </c>
      <c r="U18" s="355">
        <v>5.37</v>
      </c>
      <c r="V18" s="355">
        <v>4.92</v>
      </c>
      <c r="W18" s="355">
        <v>4.42</v>
      </c>
      <c r="Y18" s="324">
        <v>7.4</v>
      </c>
      <c r="Z18" s="324">
        <v>100</v>
      </c>
      <c r="AA18" s="324">
        <v>100</v>
      </c>
      <c r="AB18" s="324">
        <v>100</v>
      </c>
      <c r="AC18" s="324">
        <v>100</v>
      </c>
      <c r="AD18" s="324">
        <v>100</v>
      </c>
      <c r="AE18" s="324">
        <v>100</v>
      </c>
      <c r="AF18" s="324">
        <v>100</v>
      </c>
      <c r="AG18" s="324">
        <v>100</v>
      </c>
      <c r="AH18" s="324">
        <v>99</v>
      </c>
      <c r="AI18" s="324">
        <v>96</v>
      </c>
      <c r="AJ18" s="324">
        <v>100</v>
      </c>
      <c r="AK18" s="324">
        <v>100</v>
      </c>
      <c r="AL18" s="324">
        <v>100</v>
      </c>
      <c r="AM18" s="324">
        <v>100</v>
      </c>
      <c r="AN18" s="324">
        <v>97</v>
      </c>
      <c r="AO18" s="324">
        <v>94</v>
      </c>
      <c r="AP18" s="324">
        <v>90</v>
      </c>
      <c r="AQ18" s="324">
        <v>87</v>
      </c>
      <c r="AR18" s="324">
        <v>83</v>
      </c>
      <c r="AS18" s="324">
        <v>97.16</v>
      </c>
      <c r="AV18" s="470">
        <v>7.7</v>
      </c>
      <c r="AW18" s="465">
        <v>100</v>
      </c>
      <c r="AX18" s="324">
        <v>100</v>
      </c>
      <c r="AY18" s="324">
        <v>100</v>
      </c>
      <c r="AZ18" s="324">
        <v>100</v>
      </c>
      <c r="BA18" s="324">
        <v>100</v>
      </c>
      <c r="BB18" s="324">
        <v>100</v>
      </c>
      <c r="BC18" s="324">
        <v>100</v>
      </c>
      <c r="BD18" s="324">
        <v>100</v>
      </c>
      <c r="BE18" s="324">
        <v>100</v>
      </c>
      <c r="BF18" s="324">
        <v>97</v>
      </c>
      <c r="BG18" s="324">
        <v>100</v>
      </c>
      <c r="BH18" s="324">
        <v>100</v>
      </c>
      <c r="BI18" s="324">
        <v>100</v>
      </c>
      <c r="BJ18" s="324">
        <v>100</v>
      </c>
      <c r="BK18" s="324">
        <v>99</v>
      </c>
      <c r="BL18" s="324">
        <v>96</v>
      </c>
      <c r="BM18" s="324">
        <v>93</v>
      </c>
      <c r="BN18" s="324">
        <v>89</v>
      </c>
      <c r="BO18" s="324">
        <v>86</v>
      </c>
      <c r="BP18" s="324">
        <v>97.89</v>
      </c>
    </row>
    <row r="19" spans="1:68" ht="19.5" thickBot="1" x14ac:dyDescent="0.35">
      <c r="A19" s="151">
        <v>0.21</v>
      </c>
      <c r="B19" s="150">
        <v>6.8</v>
      </c>
      <c r="C19" s="150">
        <v>7.3000000000000007</v>
      </c>
      <c r="D19" s="150">
        <v>7.6999999999999993</v>
      </c>
      <c r="E19" s="150">
        <v>8</v>
      </c>
      <c r="F19" s="150">
        <v>8.1999999999999993</v>
      </c>
      <c r="G19" s="150">
        <v>8.3000000000000007</v>
      </c>
      <c r="H19" s="150">
        <v>8.15</v>
      </c>
      <c r="I19" s="150">
        <v>8</v>
      </c>
      <c r="J19" s="150">
        <v>7.85</v>
      </c>
      <c r="K19" s="150">
        <v>7.6999999999999993</v>
      </c>
      <c r="L19" s="150">
        <v>7.5500000000000007</v>
      </c>
      <c r="M19" s="468">
        <v>7.4</v>
      </c>
      <c r="N19" s="468">
        <v>7.25</v>
      </c>
      <c r="O19" s="468">
        <v>7.1</v>
      </c>
      <c r="P19" s="469">
        <v>6.95</v>
      </c>
      <c r="Q19" s="150">
        <v>6.75</v>
      </c>
      <c r="R19" s="150">
        <v>6.55</v>
      </c>
      <c r="S19" s="150">
        <v>6.25</v>
      </c>
      <c r="T19" s="150">
        <v>5.9</v>
      </c>
      <c r="U19" s="150">
        <v>5.5</v>
      </c>
      <c r="V19" s="150">
        <v>5.05</v>
      </c>
      <c r="W19" s="150">
        <v>4.55</v>
      </c>
      <c r="AV19" s="464">
        <v>7.6</v>
      </c>
      <c r="AW19" s="324">
        <v>100</v>
      </c>
      <c r="AX19" s="324">
        <v>100</v>
      </c>
      <c r="AY19" s="324">
        <v>100</v>
      </c>
      <c r="AZ19" s="324">
        <v>100</v>
      </c>
      <c r="BA19" s="324">
        <v>100</v>
      </c>
      <c r="BB19" s="324">
        <v>100</v>
      </c>
      <c r="BC19" s="324">
        <v>100</v>
      </c>
      <c r="BD19" s="324">
        <v>100</v>
      </c>
      <c r="BE19" s="324">
        <v>100</v>
      </c>
      <c r="BF19" s="324">
        <v>96</v>
      </c>
      <c r="BG19" s="324">
        <v>100</v>
      </c>
      <c r="BH19" s="324">
        <v>100</v>
      </c>
      <c r="BI19" s="324">
        <v>100</v>
      </c>
      <c r="BJ19" s="324">
        <v>100</v>
      </c>
      <c r="BK19" s="324">
        <v>98</v>
      </c>
      <c r="BL19" s="324">
        <v>95</v>
      </c>
      <c r="BM19" s="324">
        <v>91</v>
      </c>
      <c r="BN19" s="324">
        <v>88</v>
      </c>
      <c r="BO19" s="324">
        <v>85</v>
      </c>
      <c r="BP19" s="324">
        <v>97.53</v>
      </c>
    </row>
    <row r="20" spans="1:68" ht="19.5" thickBot="1" x14ac:dyDescent="0.35">
      <c r="A20" s="151">
        <v>0.22</v>
      </c>
      <c r="B20" s="150">
        <v>6.91</v>
      </c>
      <c r="C20" s="150">
        <v>7.41</v>
      </c>
      <c r="D20" s="150">
        <v>7.8100000000000005</v>
      </c>
      <c r="E20" s="150">
        <v>8.11</v>
      </c>
      <c r="F20" s="150">
        <v>8.31</v>
      </c>
      <c r="G20" s="150">
        <v>8.33</v>
      </c>
      <c r="H20" s="150">
        <v>8.26</v>
      </c>
      <c r="I20" s="150">
        <v>8.11</v>
      </c>
      <c r="J20" s="150">
        <v>7.9600000000000009</v>
      </c>
      <c r="K20" s="150">
        <v>7.8100000000000005</v>
      </c>
      <c r="L20" s="150">
        <v>7.66</v>
      </c>
      <c r="M20" s="355">
        <v>7.51</v>
      </c>
      <c r="N20" s="355">
        <v>7.3599999999999994</v>
      </c>
      <c r="O20" s="355">
        <v>7.2100000000000009</v>
      </c>
      <c r="P20" s="37">
        <v>7.0600000000000005</v>
      </c>
      <c r="Q20" s="150">
        <v>6.86</v>
      </c>
      <c r="R20" s="150">
        <v>6.66</v>
      </c>
      <c r="S20" s="150">
        <v>6.36</v>
      </c>
      <c r="T20" s="150">
        <v>6.01</v>
      </c>
      <c r="U20" s="150">
        <v>5.61</v>
      </c>
      <c r="V20" s="150">
        <v>5.16</v>
      </c>
      <c r="W20" s="150">
        <v>4.66</v>
      </c>
      <c r="AV20" s="324">
        <v>7.5</v>
      </c>
      <c r="AW20" s="324">
        <v>100</v>
      </c>
      <c r="AX20" s="324">
        <v>100</v>
      </c>
      <c r="AY20" s="324">
        <v>100</v>
      </c>
      <c r="AZ20" s="324">
        <v>100</v>
      </c>
      <c r="BA20" s="324">
        <v>100</v>
      </c>
      <c r="BB20" s="324">
        <v>100</v>
      </c>
      <c r="BC20" s="324">
        <v>100</v>
      </c>
      <c r="BD20" s="324">
        <v>100</v>
      </c>
      <c r="BE20" s="324">
        <v>100</v>
      </c>
      <c r="BF20" s="324">
        <v>96</v>
      </c>
      <c r="BG20" s="324">
        <v>100</v>
      </c>
      <c r="BH20" s="324">
        <v>100</v>
      </c>
      <c r="BI20" s="324">
        <v>100</v>
      </c>
      <c r="BJ20" s="324">
        <v>100</v>
      </c>
      <c r="BK20" s="324">
        <v>98</v>
      </c>
      <c r="BL20" s="324">
        <v>95</v>
      </c>
      <c r="BM20" s="324">
        <v>91</v>
      </c>
      <c r="BN20" s="324">
        <v>88</v>
      </c>
      <c r="BO20" s="324">
        <v>84</v>
      </c>
      <c r="BP20" s="324">
        <v>97.47</v>
      </c>
    </row>
    <row r="21" spans="1:68" ht="19.5" thickBot="1" x14ac:dyDescent="0.35">
      <c r="A21" s="151">
        <v>0.23</v>
      </c>
      <c r="B21" s="150">
        <v>7.01</v>
      </c>
      <c r="C21" s="150">
        <v>7.51</v>
      </c>
      <c r="D21" s="150">
        <v>7.91</v>
      </c>
      <c r="E21" s="150">
        <v>8.2100000000000009</v>
      </c>
      <c r="F21" s="150">
        <v>8.33</v>
      </c>
      <c r="G21" s="150">
        <v>8.33</v>
      </c>
      <c r="H21" s="150">
        <v>8.33</v>
      </c>
      <c r="I21" s="150">
        <v>8.2100000000000009</v>
      </c>
      <c r="J21" s="150">
        <v>8.06</v>
      </c>
      <c r="K21" s="150">
        <v>7.91</v>
      </c>
      <c r="L21" s="150">
        <v>7.76</v>
      </c>
      <c r="M21" s="355">
        <v>7.6099999999999994</v>
      </c>
      <c r="N21" s="355">
        <v>7.4600000000000009</v>
      </c>
      <c r="O21" s="355">
        <v>7.3100000000000005</v>
      </c>
      <c r="P21" s="37">
        <v>7.16</v>
      </c>
      <c r="Q21" s="150">
        <v>6.96</v>
      </c>
      <c r="R21" s="150">
        <v>6.76</v>
      </c>
      <c r="S21" s="150">
        <v>6.46</v>
      </c>
      <c r="T21" s="150">
        <v>6.11</v>
      </c>
      <c r="U21" s="150">
        <v>5.71</v>
      </c>
      <c r="V21" s="150">
        <v>5.26</v>
      </c>
      <c r="W21" s="150">
        <v>4.76</v>
      </c>
      <c r="Y21" s="463">
        <v>7.8</v>
      </c>
      <c r="Z21" s="324">
        <v>100</v>
      </c>
      <c r="AA21" s="324">
        <v>100</v>
      </c>
      <c r="AB21" s="324">
        <v>100</v>
      </c>
      <c r="AC21" s="324">
        <v>100</v>
      </c>
      <c r="AD21" s="324">
        <v>100</v>
      </c>
      <c r="AE21" s="324">
        <v>100</v>
      </c>
      <c r="AF21" s="324">
        <v>100</v>
      </c>
      <c r="AG21" s="324">
        <v>100</v>
      </c>
      <c r="AH21" s="324">
        <v>100</v>
      </c>
      <c r="AI21" s="324">
        <v>98</v>
      </c>
      <c r="AJ21" s="324">
        <v>100</v>
      </c>
      <c r="AK21" s="324">
        <v>100</v>
      </c>
      <c r="AL21" s="324">
        <v>100</v>
      </c>
      <c r="AM21" s="324">
        <v>100</v>
      </c>
      <c r="AN21" s="324">
        <v>100</v>
      </c>
      <c r="AO21" s="324">
        <v>97</v>
      </c>
      <c r="AP21" s="324">
        <v>94</v>
      </c>
      <c r="AQ21" s="324">
        <v>91</v>
      </c>
      <c r="AR21" s="324">
        <v>87</v>
      </c>
      <c r="AS21" s="324">
        <v>98.26</v>
      </c>
      <c r="AV21" s="324">
        <v>7.4</v>
      </c>
      <c r="AW21" s="324">
        <v>100</v>
      </c>
      <c r="AX21" s="324">
        <v>100</v>
      </c>
      <c r="AY21" s="324">
        <v>100</v>
      </c>
      <c r="AZ21" s="324">
        <v>100</v>
      </c>
      <c r="BA21" s="324">
        <v>100</v>
      </c>
      <c r="BB21" s="324">
        <v>100</v>
      </c>
      <c r="BC21" s="324">
        <v>100</v>
      </c>
      <c r="BD21" s="324">
        <v>100</v>
      </c>
      <c r="BE21" s="324">
        <v>99</v>
      </c>
      <c r="BF21" s="324">
        <v>96</v>
      </c>
      <c r="BG21" s="324">
        <v>100</v>
      </c>
      <c r="BH21" s="324">
        <v>100</v>
      </c>
      <c r="BI21" s="324">
        <v>100</v>
      </c>
      <c r="BJ21" s="324">
        <v>100</v>
      </c>
      <c r="BK21" s="324">
        <v>97</v>
      </c>
      <c r="BL21" s="324">
        <v>94</v>
      </c>
      <c r="BM21" s="324">
        <v>90</v>
      </c>
      <c r="BN21" s="324">
        <v>87</v>
      </c>
      <c r="BO21" s="324">
        <v>83</v>
      </c>
      <c r="BP21" s="324">
        <v>97.16</v>
      </c>
    </row>
    <row r="22" spans="1:68" ht="19.5" thickBot="1" x14ac:dyDescent="0.35">
      <c r="A22" s="151">
        <v>0.24</v>
      </c>
      <c r="B22" s="150">
        <v>7.1099999999999994</v>
      </c>
      <c r="C22" s="150">
        <v>7.6099999999999994</v>
      </c>
      <c r="D22" s="150">
        <v>8.01</v>
      </c>
      <c r="E22" s="150">
        <v>8.31</v>
      </c>
      <c r="F22" s="150">
        <v>8.33</v>
      </c>
      <c r="G22" s="150">
        <v>8.33</v>
      </c>
      <c r="H22" s="150">
        <v>8.33</v>
      </c>
      <c r="I22" s="150">
        <v>8.31</v>
      </c>
      <c r="J22" s="150">
        <v>8.16</v>
      </c>
      <c r="K22" s="150">
        <v>8.01</v>
      </c>
      <c r="L22" s="150">
        <v>7.8599999999999994</v>
      </c>
      <c r="M22" s="466">
        <v>7.7100000000000009</v>
      </c>
      <c r="N22" s="466">
        <v>7.5600000000000005</v>
      </c>
      <c r="O22" s="466">
        <v>7.41</v>
      </c>
      <c r="P22" s="467">
        <v>7.26</v>
      </c>
      <c r="Q22" s="150">
        <v>7.0600000000000005</v>
      </c>
      <c r="R22" s="150">
        <v>6.86</v>
      </c>
      <c r="S22" s="150">
        <v>6.56</v>
      </c>
      <c r="T22" s="150">
        <v>6.21</v>
      </c>
      <c r="U22" s="150">
        <v>5.81</v>
      </c>
      <c r="V22" s="150">
        <v>5.36</v>
      </c>
      <c r="W22" s="150">
        <v>4.8600000000000003</v>
      </c>
      <c r="AV22" s="324">
        <v>7.3</v>
      </c>
      <c r="AW22" s="324">
        <v>100</v>
      </c>
      <c r="AX22" s="324">
        <v>100</v>
      </c>
      <c r="AY22" s="324">
        <v>100</v>
      </c>
      <c r="AZ22" s="324">
        <v>100</v>
      </c>
      <c r="BA22" s="324">
        <v>100</v>
      </c>
      <c r="BB22" s="324">
        <v>100</v>
      </c>
      <c r="BC22" s="324">
        <v>100</v>
      </c>
      <c r="BD22" s="324">
        <v>100</v>
      </c>
      <c r="BE22" s="324">
        <v>98</v>
      </c>
      <c r="BF22" s="324">
        <v>95</v>
      </c>
      <c r="BG22" s="324">
        <v>100</v>
      </c>
      <c r="BH22" s="324">
        <v>100</v>
      </c>
      <c r="BI22" s="324">
        <v>100</v>
      </c>
      <c r="BJ22" s="324">
        <v>100</v>
      </c>
      <c r="BK22" s="324">
        <v>96</v>
      </c>
      <c r="BL22" s="324">
        <v>93</v>
      </c>
      <c r="BM22" s="324">
        <v>89</v>
      </c>
      <c r="BN22" s="324">
        <v>86</v>
      </c>
      <c r="BO22" s="324">
        <v>82</v>
      </c>
      <c r="BP22" s="324">
        <v>96.79</v>
      </c>
    </row>
    <row r="23" spans="1:68" ht="16.5" thickBot="1" x14ac:dyDescent="0.3">
      <c r="A23" s="619">
        <v>0.25</v>
      </c>
      <c r="B23" s="620">
        <v>7.1999999999999993</v>
      </c>
      <c r="C23" s="620">
        <v>7.6999999999999993</v>
      </c>
      <c r="D23" s="620">
        <v>8.1</v>
      </c>
      <c r="E23" s="620">
        <v>8.33</v>
      </c>
      <c r="F23" s="620">
        <v>8.33</v>
      </c>
      <c r="G23" s="620">
        <v>8.33</v>
      </c>
      <c r="H23" s="620">
        <v>8.33</v>
      </c>
      <c r="I23" s="620">
        <v>8.33</v>
      </c>
      <c r="J23" s="620">
        <v>8.25</v>
      </c>
      <c r="K23" s="620">
        <v>8.1</v>
      </c>
      <c r="L23" s="620">
        <v>7.9499999999999993</v>
      </c>
      <c r="M23" s="620">
        <v>7.8000000000000007</v>
      </c>
      <c r="N23" s="620">
        <v>7.65</v>
      </c>
      <c r="O23" s="620">
        <v>7.5</v>
      </c>
      <c r="P23" s="620">
        <v>7.35</v>
      </c>
      <c r="Q23" s="620">
        <v>7.15</v>
      </c>
      <c r="R23" s="620">
        <v>6.95</v>
      </c>
      <c r="S23" s="620">
        <v>6.65</v>
      </c>
      <c r="T23" s="620">
        <v>6.3</v>
      </c>
      <c r="U23" s="620">
        <v>5.9</v>
      </c>
      <c r="V23" s="620">
        <v>5.45</v>
      </c>
      <c r="W23" s="620">
        <v>4.95</v>
      </c>
      <c r="AV23" s="324">
        <v>7.2</v>
      </c>
      <c r="AW23" s="324">
        <v>100</v>
      </c>
      <c r="AX23" s="324">
        <v>100</v>
      </c>
      <c r="AY23" s="324">
        <v>100</v>
      </c>
      <c r="AZ23" s="324">
        <v>100</v>
      </c>
      <c r="BA23" s="324">
        <v>100</v>
      </c>
      <c r="BB23" s="324">
        <v>100</v>
      </c>
      <c r="BC23" s="324">
        <v>100</v>
      </c>
      <c r="BD23" s="324">
        <v>100</v>
      </c>
      <c r="BE23" s="324">
        <v>98</v>
      </c>
      <c r="BF23" s="324">
        <v>94</v>
      </c>
      <c r="BG23" s="324">
        <v>100</v>
      </c>
      <c r="BH23" s="324">
        <v>100</v>
      </c>
      <c r="BI23" s="324">
        <v>100</v>
      </c>
      <c r="BJ23" s="324">
        <v>99</v>
      </c>
      <c r="BK23" s="324">
        <v>95</v>
      </c>
      <c r="BL23" s="324">
        <v>92</v>
      </c>
      <c r="BM23" s="324">
        <v>88</v>
      </c>
      <c r="BN23" s="324">
        <v>85</v>
      </c>
      <c r="BO23" s="324">
        <v>81</v>
      </c>
      <c r="BP23" s="324">
        <v>96.42</v>
      </c>
    </row>
    <row r="24" spans="1:68" ht="19.5" thickBot="1" x14ac:dyDescent="0.35">
      <c r="A24" s="151">
        <v>0.26</v>
      </c>
      <c r="B24" s="150">
        <v>7.2799999999999994</v>
      </c>
      <c r="C24" s="150">
        <v>7.7799999999999994</v>
      </c>
      <c r="D24" s="150">
        <v>8.18</v>
      </c>
      <c r="E24" s="150">
        <v>8.33</v>
      </c>
      <c r="F24" s="150">
        <v>8.33</v>
      </c>
      <c r="G24" s="150">
        <v>8.33</v>
      </c>
      <c r="H24" s="150">
        <v>8.33</v>
      </c>
      <c r="I24" s="150">
        <v>8.33</v>
      </c>
      <c r="J24" s="150">
        <v>8.33</v>
      </c>
      <c r="K24" s="150">
        <v>8.18</v>
      </c>
      <c r="L24" s="150">
        <v>8.0299999999999994</v>
      </c>
      <c r="M24" s="468">
        <v>7.8800000000000008</v>
      </c>
      <c r="N24" s="468">
        <v>7.73</v>
      </c>
      <c r="O24" s="468">
        <v>7.58</v>
      </c>
      <c r="P24" s="469">
        <v>7.43</v>
      </c>
      <c r="Q24" s="150">
        <v>7.23</v>
      </c>
      <c r="R24" s="150">
        <v>7.0299999999999994</v>
      </c>
      <c r="S24" s="150">
        <v>6.73</v>
      </c>
      <c r="T24" s="150">
        <v>6.38</v>
      </c>
      <c r="U24" s="150">
        <v>5.98</v>
      </c>
      <c r="V24" s="150">
        <v>5.53</v>
      </c>
      <c r="W24" s="150">
        <v>5.03</v>
      </c>
      <c r="Y24" s="324">
        <v>8</v>
      </c>
      <c r="Z24" s="324">
        <v>100</v>
      </c>
      <c r="AA24" s="324">
        <v>100</v>
      </c>
      <c r="AB24" s="324">
        <v>100</v>
      </c>
      <c r="AC24" s="324">
        <v>100</v>
      </c>
      <c r="AD24" s="324">
        <v>100</v>
      </c>
      <c r="AE24" s="324">
        <v>100</v>
      </c>
      <c r="AF24" s="324">
        <v>100</v>
      </c>
      <c r="AG24" s="324">
        <v>100</v>
      </c>
      <c r="AH24" s="324">
        <v>100</v>
      </c>
      <c r="AI24" s="324">
        <v>99</v>
      </c>
      <c r="AJ24" s="324">
        <v>100</v>
      </c>
      <c r="AK24" s="324">
        <v>100</v>
      </c>
      <c r="AL24" s="324">
        <v>100</v>
      </c>
      <c r="AM24" s="324">
        <v>100</v>
      </c>
      <c r="AN24" s="324">
        <v>100</v>
      </c>
      <c r="AO24" s="324">
        <v>99</v>
      </c>
      <c r="AP24" s="324">
        <v>95</v>
      </c>
      <c r="AQ24" s="324">
        <v>92</v>
      </c>
      <c r="AR24" s="324">
        <v>89</v>
      </c>
      <c r="AS24" s="324">
        <v>98.63</v>
      </c>
      <c r="AV24" s="324">
        <v>7.1</v>
      </c>
      <c r="AW24" s="324">
        <v>100</v>
      </c>
      <c r="AX24" s="324">
        <v>100</v>
      </c>
      <c r="AY24" s="324">
        <v>100</v>
      </c>
      <c r="AZ24" s="324">
        <v>100</v>
      </c>
      <c r="BA24" s="324">
        <v>100</v>
      </c>
      <c r="BB24" s="324">
        <v>100</v>
      </c>
      <c r="BC24" s="324">
        <v>100</v>
      </c>
      <c r="BD24" s="324">
        <v>100</v>
      </c>
      <c r="BE24" s="324">
        <v>97</v>
      </c>
      <c r="BF24" s="324">
        <v>94</v>
      </c>
      <c r="BG24" s="324">
        <v>100</v>
      </c>
      <c r="BH24" s="324">
        <v>100</v>
      </c>
      <c r="BI24" s="324">
        <v>100</v>
      </c>
      <c r="BJ24" s="324">
        <v>98</v>
      </c>
      <c r="BK24" s="324">
        <v>95</v>
      </c>
      <c r="BL24" s="324">
        <v>91</v>
      </c>
      <c r="BM24" s="324">
        <v>87</v>
      </c>
      <c r="BN24" s="324">
        <v>84</v>
      </c>
      <c r="BO24" s="324">
        <v>80</v>
      </c>
      <c r="BP24" s="324">
        <v>96.11</v>
      </c>
    </row>
    <row r="25" spans="1:68" ht="19.5" thickBot="1" x14ac:dyDescent="0.35">
      <c r="A25" s="151">
        <v>0.27</v>
      </c>
      <c r="B25" s="150">
        <v>7.3599999999999994</v>
      </c>
      <c r="C25" s="150">
        <v>7.8599999999999994</v>
      </c>
      <c r="D25" s="150">
        <v>8.26</v>
      </c>
      <c r="E25" s="150">
        <v>8.33</v>
      </c>
      <c r="F25" s="150">
        <v>8.33</v>
      </c>
      <c r="G25" s="150">
        <v>8.33</v>
      </c>
      <c r="H25" s="150">
        <v>8.33</v>
      </c>
      <c r="I25" s="150">
        <v>8.33</v>
      </c>
      <c r="J25" s="150">
        <v>8.33</v>
      </c>
      <c r="K25" s="150">
        <v>8.26</v>
      </c>
      <c r="L25" s="150">
        <v>8.11</v>
      </c>
      <c r="M25" s="355">
        <v>7.9600000000000009</v>
      </c>
      <c r="N25" s="355">
        <v>7.8100000000000005</v>
      </c>
      <c r="O25" s="355">
        <v>7.66</v>
      </c>
      <c r="P25" s="37">
        <v>7.51</v>
      </c>
      <c r="Q25" s="150">
        <v>7.3100000000000005</v>
      </c>
      <c r="R25" s="150">
        <v>7.1099999999999994</v>
      </c>
      <c r="S25" s="150">
        <v>6.81</v>
      </c>
      <c r="T25" s="150">
        <v>6.46</v>
      </c>
      <c r="U25" s="150">
        <v>6.06</v>
      </c>
      <c r="V25" s="150">
        <v>5.61</v>
      </c>
      <c r="W25" s="150">
        <v>5.1100000000000003</v>
      </c>
      <c r="AV25" s="324">
        <v>7</v>
      </c>
      <c r="AW25" s="324">
        <v>100</v>
      </c>
      <c r="AX25" s="324">
        <v>100</v>
      </c>
      <c r="AY25" s="324">
        <v>100</v>
      </c>
      <c r="AZ25" s="324">
        <v>100</v>
      </c>
      <c r="BA25" s="324">
        <v>100</v>
      </c>
      <c r="BB25" s="324">
        <v>100</v>
      </c>
      <c r="BC25" s="324">
        <v>100</v>
      </c>
      <c r="BD25" s="324">
        <v>100</v>
      </c>
      <c r="BE25" s="324">
        <v>96</v>
      </c>
      <c r="BF25" s="324">
        <v>93</v>
      </c>
      <c r="BG25" s="324">
        <v>100</v>
      </c>
      <c r="BH25" s="324">
        <v>100</v>
      </c>
      <c r="BI25" s="324">
        <v>100</v>
      </c>
      <c r="BJ25" s="324">
        <v>99</v>
      </c>
      <c r="BK25" s="324">
        <v>96</v>
      </c>
      <c r="BL25" s="324">
        <v>89</v>
      </c>
      <c r="BM25" s="324">
        <v>86</v>
      </c>
      <c r="BN25" s="324">
        <v>82</v>
      </c>
      <c r="BO25" s="324">
        <v>79</v>
      </c>
      <c r="BP25" s="324">
        <v>95.79</v>
      </c>
    </row>
    <row r="26" spans="1:68" ht="19.5" thickBot="1" x14ac:dyDescent="0.35">
      <c r="A26" s="151">
        <v>0.28000000000000003</v>
      </c>
      <c r="B26" s="150">
        <v>7.43</v>
      </c>
      <c r="C26" s="150">
        <v>7.93</v>
      </c>
      <c r="D26" s="150">
        <v>8.33</v>
      </c>
      <c r="E26" s="150">
        <v>8.33</v>
      </c>
      <c r="F26" s="150">
        <v>8.33</v>
      </c>
      <c r="G26" s="150">
        <v>8.33</v>
      </c>
      <c r="H26" s="150">
        <v>8.33</v>
      </c>
      <c r="I26" s="150">
        <v>8.33</v>
      </c>
      <c r="J26" s="150">
        <v>8.33</v>
      </c>
      <c r="K26" s="150">
        <v>8.33</v>
      </c>
      <c r="L26" s="150">
        <v>8.18</v>
      </c>
      <c r="M26" s="355">
        <v>8.0299999999999994</v>
      </c>
      <c r="N26" s="355">
        <v>7.8800000000000008</v>
      </c>
      <c r="O26" s="355">
        <v>7.73</v>
      </c>
      <c r="P26" s="37">
        <v>7.58</v>
      </c>
      <c r="Q26" s="150">
        <v>7.3800000000000008</v>
      </c>
      <c r="R26" s="150">
        <v>7.18</v>
      </c>
      <c r="S26" s="150">
        <v>6.88</v>
      </c>
      <c r="T26" s="150">
        <v>6.53</v>
      </c>
      <c r="U26" s="150">
        <v>6.13</v>
      </c>
      <c r="V26" s="150">
        <v>5.68</v>
      </c>
      <c r="W26" s="150">
        <v>5.18</v>
      </c>
      <c r="AV26" s="324">
        <v>6.9</v>
      </c>
      <c r="AW26" s="324">
        <v>100</v>
      </c>
      <c r="AX26" s="324">
        <v>100</v>
      </c>
      <c r="AY26" s="324">
        <v>100</v>
      </c>
      <c r="AZ26" s="324">
        <v>100</v>
      </c>
      <c r="BA26" s="324">
        <v>100</v>
      </c>
      <c r="BB26" s="324">
        <v>100</v>
      </c>
      <c r="BC26" s="324">
        <v>100</v>
      </c>
      <c r="BD26" s="324">
        <v>100</v>
      </c>
      <c r="BE26" s="324">
        <v>96</v>
      </c>
      <c r="BF26" s="324">
        <v>92</v>
      </c>
      <c r="BG26" s="324">
        <v>100</v>
      </c>
      <c r="BH26" s="324">
        <v>100</v>
      </c>
      <c r="BI26" s="324">
        <v>100</v>
      </c>
      <c r="BJ26" s="324">
        <v>96</v>
      </c>
      <c r="BK26" s="324">
        <v>93</v>
      </c>
      <c r="BL26" s="324">
        <v>89</v>
      </c>
      <c r="BM26" s="324">
        <v>85</v>
      </c>
      <c r="BN26" s="324">
        <v>82</v>
      </c>
      <c r="BO26" s="324">
        <v>78</v>
      </c>
      <c r="BP26" s="324">
        <v>95.32</v>
      </c>
    </row>
    <row r="27" spans="1:68" ht="19.5" thickBot="1" x14ac:dyDescent="0.35">
      <c r="A27" s="151">
        <v>0.28999999999999998</v>
      </c>
      <c r="B27" s="150">
        <v>7.5</v>
      </c>
      <c r="C27" s="150">
        <v>8</v>
      </c>
      <c r="D27" s="150">
        <v>8.33</v>
      </c>
      <c r="E27" s="150">
        <v>8.33</v>
      </c>
      <c r="F27" s="150">
        <v>8.33</v>
      </c>
      <c r="G27" s="150">
        <v>8.33</v>
      </c>
      <c r="H27" s="150">
        <v>8.33</v>
      </c>
      <c r="I27" s="150">
        <v>8.33</v>
      </c>
      <c r="J27" s="150">
        <v>8.33</v>
      </c>
      <c r="K27" s="150">
        <v>8.33</v>
      </c>
      <c r="L27" s="150">
        <v>8.25</v>
      </c>
      <c r="M27" s="355">
        <v>8.1</v>
      </c>
      <c r="N27" s="355">
        <v>7.9499999999999993</v>
      </c>
      <c r="O27" s="355">
        <v>7.8000000000000007</v>
      </c>
      <c r="P27" s="37">
        <v>7.65</v>
      </c>
      <c r="Q27" s="150">
        <v>7.4499999999999993</v>
      </c>
      <c r="R27" s="150">
        <v>7.25</v>
      </c>
      <c r="S27" s="150">
        <v>6.95</v>
      </c>
      <c r="T27" s="150">
        <v>6.6</v>
      </c>
      <c r="U27" s="150">
        <v>6.2</v>
      </c>
      <c r="V27" s="150">
        <v>5.75</v>
      </c>
      <c r="W27" s="150">
        <v>5.25</v>
      </c>
      <c r="AV27" s="324">
        <v>6.8</v>
      </c>
      <c r="AW27" s="324">
        <v>100</v>
      </c>
      <c r="AX27" s="324">
        <v>100</v>
      </c>
      <c r="AY27" s="324">
        <v>100</v>
      </c>
      <c r="AZ27" s="324">
        <v>100</v>
      </c>
      <c r="BA27" s="324">
        <v>100</v>
      </c>
      <c r="BB27" s="324">
        <v>100</v>
      </c>
      <c r="BC27" s="324">
        <v>100</v>
      </c>
      <c r="BD27" s="324">
        <v>99</v>
      </c>
      <c r="BE27" s="324">
        <v>95</v>
      </c>
      <c r="BF27" s="324">
        <v>91</v>
      </c>
      <c r="BG27" s="324">
        <v>100</v>
      </c>
      <c r="BH27" s="324">
        <v>100</v>
      </c>
      <c r="BI27" s="324">
        <v>99</v>
      </c>
      <c r="BJ27" s="324">
        <v>95</v>
      </c>
      <c r="BK27" s="324">
        <v>91</v>
      </c>
      <c r="BL27" s="324">
        <v>88</v>
      </c>
      <c r="BM27" s="324">
        <v>84</v>
      </c>
      <c r="BN27" s="324">
        <v>80</v>
      </c>
      <c r="BO27" s="324">
        <v>77</v>
      </c>
      <c r="BP27" s="324">
        <v>94.68</v>
      </c>
    </row>
    <row r="28" spans="1:68" ht="19.5" thickBot="1" x14ac:dyDescent="0.35">
      <c r="A28" s="151">
        <v>0.3</v>
      </c>
      <c r="B28" s="150">
        <v>7.5600000000000005</v>
      </c>
      <c r="C28" s="150">
        <v>8.06</v>
      </c>
      <c r="D28" s="150">
        <v>8.33</v>
      </c>
      <c r="E28" s="150">
        <v>8.33</v>
      </c>
      <c r="F28" s="150">
        <v>8.33</v>
      </c>
      <c r="G28" s="150">
        <v>8.33</v>
      </c>
      <c r="H28" s="150">
        <v>8.33</v>
      </c>
      <c r="I28" s="150">
        <v>8.33</v>
      </c>
      <c r="J28" s="150">
        <v>8.33</v>
      </c>
      <c r="K28" s="150">
        <v>8.33</v>
      </c>
      <c r="L28" s="150">
        <v>8.31</v>
      </c>
      <c r="M28" s="355">
        <v>8.16</v>
      </c>
      <c r="N28" s="355">
        <v>8.01</v>
      </c>
      <c r="O28" s="355">
        <v>7.8599999999999994</v>
      </c>
      <c r="P28" s="37">
        <v>7.7100000000000009</v>
      </c>
      <c r="Q28" s="150">
        <v>7.51</v>
      </c>
      <c r="R28" s="150">
        <v>7.3100000000000005</v>
      </c>
      <c r="S28" s="150">
        <v>7.01</v>
      </c>
      <c r="T28" s="150">
        <v>6.66</v>
      </c>
      <c r="U28" s="150">
        <v>6.26</v>
      </c>
      <c r="V28" s="150">
        <v>5.81</v>
      </c>
      <c r="W28" s="150">
        <v>5.31</v>
      </c>
      <c r="Y28">
        <f>12*0.85</f>
        <v>10.199999999999999</v>
      </c>
      <c r="AV28" s="324">
        <v>6.7</v>
      </c>
      <c r="AW28" s="324">
        <v>100</v>
      </c>
      <c r="AX28" s="324">
        <v>100</v>
      </c>
      <c r="AY28" s="324">
        <v>100</v>
      </c>
      <c r="AZ28" s="324">
        <v>100</v>
      </c>
      <c r="BA28" s="324">
        <v>100</v>
      </c>
      <c r="BB28" s="324">
        <v>100</v>
      </c>
      <c r="BC28" s="324">
        <v>100</v>
      </c>
      <c r="BD28" s="324">
        <v>99</v>
      </c>
      <c r="BE28" s="324">
        <v>95</v>
      </c>
      <c r="BF28" s="324">
        <v>91</v>
      </c>
      <c r="BG28" s="324">
        <v>100</v>
      </c>
      <c r="BH28" s="324">
        <v>100</v>
      </c>
      <c r="BI28" s="324">
        <v>99</v>
      </c>
      <c r="BJ28" s="324">
        <v>95</v>
      </c>
      <c r="BK28" s="324">
        <v>91</v>
      </c>
      <c r="BL28" s="324">
        <v>87</v>
      </c>
      <c r="BM28" s="324">
        <v>84</v>
      </c>
      <c r="BN28" s="324">
        <v>80</v>
      </c>
      <c r="BO28" s="324">
        <v>76</v>
      </c>
      <c r="BP28" s="324">
        <v>94.58</v>
      </c>
    </row>
    <row r="29" spans="1:68" ht="19.5" thickBot="1" x14ac:dyDescent="0.35">
      <c r="A29" s="151">
        <v>0.31</v>
      </c>
      <c r="B29" s="150">
        <v>7.6199999999999992</v>
      </c>
      <c r="C29" s="150">
        <v>8.1199999999999992</v>
      </c>
      <c r="D29" s="150">
        <v>8.33</v>
      </c>
      <c r="E29" s="150">
        <v>8.33</v>
      </c>
      <c r="F29" s="150">
        <v>8.33</v>
      </c>
      <c r="G29" s="150">
        <v>8.33</v>
      </c>
      <c r="H29" s="150">
        <v>8.33</v>
      </c>
      <c r="I29" s="150">
        <v>8.33</v>
      </c>
      <c r="J29" s="150">
        <v>8.33</v>
      </c>
      <c r="K29" s="150">
        <v>8.33</v>
      </c>
      <c r="L29" s="150">
        <v>8.33</v>
      </c>
      <c r="M29" s="355">
        <v>8.2200000000000006</v>
      </c>
      <c r="N29" s="355">
        <v>8.07</v>
      </c>
      <c r="O29" s="355">
        <v>7.92</v>
      </c>
      <c r="P29" s="37">
        <v>7.77</v>
      </c>
      <c r="Q29" s="150">
        <v>7.57</v>
      </c>
      <c r="R29" s="150">
        <v>7.3699999999999992</v>
      </c>
      <c r="S29" s="150">
        <v>7.07</v>
      </c>
      <c r="T29" s="150">
        <v>6.72</v>
      </c>
      <c r="U29" s="150">
        <v>6.32</v>
      </c>
      <c r="V29" s="150">
        <v>5.87</v>
      </c>
      <c r="W29" s="150">
        <v>5.37</v>
      </c>
      <c r="AH29" s="579"/>
      <c r="AV29" s="324">
        <v>6.6</v>
      </c>
      <c r="AW29" s="324">
        <v>100</v>
      </c>
      <c r="AX29" s="324">
        <v>100</v>
      </c>
      <c r="AY29" s="324">
        <v>100</v>
      </c>
      <c r="AZ29" s="324">
        <v>100</v>
      </c>
      <c r="BA29" s="324">
        <v>100</v>
      </c>
      <c r="BB29" s="324">
        <v>100</v>
      </c>
      <c r="BC29" s="324">
        <v>100</v>
      </c>
      <c r="BD29" s="324">
        <v>98</v>
      </c>
      <c r="BE29" s="324">
        <v>94</v>
      </c>
      <c r="BF29" s="324">
        <v>90</v>
      </c>
      <c r="BG29" s="324">
        <v>100</v>
      </c>
      <c r="BH29" s="324">
        <v>100</v>
      </c>
      <c r="BI29" s="324">
        <v>97</v>
      </c>
      <c r="BJ29" s="324">
        <v>94</v>
      </c>
      <c r="BK29" s="324">
        <v>90</v>
      </c>
      <c r="BL29" s="324">
        <v>86</v>
      </c>
      <c r="BM29" s="324">
        <v>82</v>
      </c>
      <c r="BN29" s="324">
        <v>78</v>
      </c>
      <c r="BO29" s="324">
        <v>75</v>
      </c>
      <c r="BP29" s="324">
        <v>93.89</v>
      </c>
    </row>
    <row r="30" spans="1:68" ht="19.5" thickBot="1" x14ac:dyDescent="0.35">
      <c r="A30" s="151">
        <v>0.32</v>
      </c>
      <c r="B30" s="150">
        <v>7.67</v>
      </c>
      <c r="C30" s="150">
        <v>8.17</v>
      </c>
      <c r="D30" s="150">
        <v>8.33</v>
      </c>
      <c r="E30" s="150">
        <v>8.33</v>
      </c>
      <c r="F30" s="150">
        <v>8.33</v>
      </c>
      <c r="G30" s="150">
        <v>8.33</v>
      </c>
      <c r="H30" s="150">
        <v>8.33</v>
      </c>
      <c r="I30" s="150">
        <v>8.33</v>
      </c>
      <c r="J30" s="150">
        <v>8.33</v>
      </c>
      <c r="K30" s="150">
        <v>8.33</v>
      </c>
      <c r="L30" s="150">
        <v>8.33</v>
      </c>
      <c r="M30" s="355">
        <v>8.27</v>
      </c>
      <c r="N30" s="355">
        <v>8.1199999999999992</v>
      </c>
      <c r="O30" s="355">
        <v>7.9700000000000006</v>
      </c>
      <c r="P30" s="37">
        <v>7.82</v>
      </c>
      <c r="Q30" s="150">
        <v>7.6199999999999992</v>
      </c>
      <c r="R30" s="150">
        <v>7.42</v>
      </c>
      <c r="S30" s="150">
        <v>7.1199999999999992</v>
      </c>
      <c r="T30" s="150">
        <v>6.77</v>
      </c>
      <c r="U30" s="150">
        <v>6.37</v>
      </c>
      <c r="V30" s="150">
        <v>5.92</v>
      </c>
      <c r="W30" s="150">
        <v>5.42</v>
      </c>
      <c r="AV30" s="324">
        <v>6.5</v>
      </c>
      <c r="AW30" s="324">
        <v>100</v>
      </c>
      <c r="AX30" s="324">
        <v>100</v>
      </c>
      <c r="AY30" s="324">
        <v>100</v>
      </c>
      <c r="AZ30" s="324">
        <v>100</v>
      </c>
      <c r="BA30" s="324">
        <v>100</v>
      </c>
      <c r="BB30" s="324">
        <v>100</v>
      </c>
      <c r="BC30" s="324">
        <v>100</v>
      </c>
      <c r="BD30" s="324">
        <v>97</v>
      </c>
      <c r="BE30" s="324">
        <v>93</v>
      </c>
      <c r="BF30" s="324">
        <v>90</v>
      </c>
      <c r="BG30" s="324">
        <v>100</v>
      </c>
      <c r="BH30" s="324">
        <v>100</v>
      </c>
      <c r="BI30" s="324">
        <v>97</v>
      </c>
      <c r="BJ30" s="324">
        <v>93</v>
      </c>
      <c r="BK30" s="324">
        <v>89</v>
      </c>
      <c r="BL30" s="324">
        <v>85</v>
      </c>
      <c r="BM30" s="324">
        <v>82</v>
      </c>
      <c r="BN30" s="324">
        <v>78</v>
      </c>
      <c r="BO30" s="324">
        <v>74</v>
      </c>
      <c r="BP30" s="324">
        <v>93.58</v>
      </c>
    </row>
    <row r="31" spans="1:68" ht="19.5" thickBot="1" x14ac:dyDescent="0.35">
      <c r="A31" s="151">
        <v>0.33</v>
      </c>
      <c r="B31" s="150">
        <v>7.7200000000000006</v>
      </c>
      <c r="C31" s="150">
        <v>8.2200000000000006</v>
      </c>
      <c r="D31" s="150">
        <v>8.33</v>
      </c>
      <c r="E31" s="150">
        <v>8.33</v>
      </c>
      <c r="F31" s="150">
        <v>8.33</v>
      </c>
      <c r="G31" s="150">
        <v>8.33</v>
      </c>
      <c r="H31" s="150">
        <v>8.33</v>
      </c>
      <c r="I31" s="150">
        <v>8.33</v>
      </c>
      <c r="J31" s="150">
        <v>8.33</v>
      </c>
      <c r="K31" s="150">
        <v>8.33</v>
      </c>
      <c r="L31" s="150">
        <v>8.33</v>
      </c>
      <c r="M31" s="355">
        <v>8.32</v>
      </c>
      <c r="N31" s="355">
        <v>8.17</v>
      </c>
      <c r="O31" s="355">
        <v>8.02</v>
      </c>
      <c r="P31" s="37">
        <v>7.8699999999999992</v>
      </c>
      <c r="Q31" s="150">
        <v>7.67</v>
      </c>
      <c r="R31" s="150">
        <v>7.4700000000000006</v>
      </c>
      <c r="S31" s="150">
        <v>7.17</v>
      </c>
      <c r="T31" s="150">
        <v>6.82</v>
      </c>
      <c r="U31" s="150">
        <v>6.42</v>
      </c>
      <c r="V31" s="150">
        <v>5.97</v>
      </c>
      <c r="W31" s="150">
        <v>5.47</v>
      </c>
      <c r="AV31" s="324">
        <v>6.4</v>
      </c>
      <c r="AW31" s="324">
        <v>100</v>
      </c>
      <c r="AX31" s="324">
        <v>100</v>
      </c>
      <c r="AY31" s="324">
        <v>100</v>
      </c>
      <c r="AZ31" s="324">
        <v>100</v>
      </c>
      <c r="BA31" s="324">
        <v>100</v>
      </c>
      <c r="BB31" s="324">
        <v>100</v>
      </c>
      <c r="BC31" s="324">
        <v>100</v>
      </c>
      <c r="BD31" s="324">
        <v>97</v>
      </c>
      <c r="BE31" s="324">
        <v>93</v>
      </c>
      <c r="BF31" s="324">
        <v>89</v>
      </c>
      <c r="BG31" s="324">
        <v>100</v>
      </c>
      <c r="BH31" s="324">
        <v>100</v>
      </c>
      <c r="BI31" s="324">
        <v>96</v>
      </c>
      <c r="BJ31" s="324">
        <v>93</v>
      </c>
      <c r="BK31" s="324">
        <v>89</v>
      </c>
      <c r="BL31" s="324">
        <v>85</v>
      </c>
      <c r="BM31" s="324">
        <v>81</v>
      </c>
      <c r="BN31" s="324">
        <v>77</v>
      </c>
      <c r="BO31" s="324">
        <v>73</v>
      </c>
      <c r="BP31" s="324">
        <v>93.32</v>
      </c>
    </row>
    <row r="32" spans="1:68" ht="19.5" thickBot="1" x14ac:dyDescent="0.35">
      <c r="A32" s="151">
        <v>0.34</v>
      </c>
      <c r="B32" s="150">
        <v>7.77</v>
      </c>
      <c r="C32" s="150">
        <v>8.27</v>
      </c>
      <c r="D32" s="150">
        <v>8.33</v>
      </c>
      <c r="E32" s="150">
        <v>8.33</v>
      </c>
      <c r="F32" s="150">
        <v>8.33</v>
      </c>
      <c r="G32" s="150">
        <v>8.33</v>
      </c>
      <c r="H32" s="150">
        <v>8.33</v>
      </c>
      <c r="I32" s="150">
        <v>8.33</v>
      </c>
      <c r="J32" s="150">
        <v>8.33</v>
      </c>
      <c r="K32" s="150">
        <v>8.33</v>
      </c>
      <c r="L32" s="150">
        <v>8.33</v>
      </c>
      <c r="M32" s="355">
        <v>8.33</v>
      </c>
      <c r="N32" s="355">
        <v>8.2200000000000006</v>
      </c>
      <c r="O32" s="355">
        <v>8.07</v>
      </c>
      <c r="P32" s="37">
        <v>7.92</v>
      </c>
      <c r="Q32" s="150">
        <v>7.7200000000000006</v>
      </c>
      <c r="R32" s="150">
        <v>7.52</v>
      </c>
      <c r="S32" s="150">
        <v>7.2200000000000006</v>
      </c>
      <c r="T32" s="150">
        <v>6.87</v>
      </c>
      <c r="U32" s="150">
        <v>6.47</v>
      </c>
      <c r="V32" s="150">
        <v>6.02</v>
      </c>
      <c r="W32" s="150">
        <v>5.52</v>
      </c>
      <c r="AV32" s="324">
        <v>6.3</v>
      </c>
      <c r="AW32" s="324">
        <v>100</v>
      </c>
      <c r="AX32" s="324">
        <v>100</v>
      </c>
      <c r="AY32" s="324">
        <v>100</v>
      </c>
      <c r="AZ32" s="324">
        <v>100</v>
      </c>
      <c r="BA32" s="324">
        <v>100</v>
      </c>
      <c r="BB32" s="324">
        <v>100</v>
      </c>
      <c r="BC32" s="324">
        <v>100</v>
      </c>
      <c r="BD32" s="324">
        <v>96</v>
      </c>
      <c r="BE32" s="324">
        <v>92</v>
      </c>
      <c r="BF32" s="324">
        <v>88</v>
      </c>
      <c r="BG32" s="324">
        <v>100</v>
      </c>
      <c r="BH32" s="324">
        <v>99</v>
      </c>
      <c r="BI32" s="324">
        <v>95</v>
      </c>
      <c r="BJ32" s="324">
        <v>91</v>
      </c>
      <c r="BK32" s="324">
        <v>88</v>
      </c>
      <c r="BL32" s="324">
        <v>84</v>
      </c>
      <c r="BM32" s="324">
        <v>80</v>
      </c>
      <c r="BN32" s="324">
        <v>76</v>
      </c>
      <c r="BO32" s="324">
        <v>72</v>
      </c>
      <c r="BP32" s="324">
        <v>92.68</v>
      </c>
    </row>
    <row r="33" spans="1:68" ht="19.5" thickBot="1" x14ac:dyDescent="0.35">
      <c r="A33" s="151">
        <v>0.35</v>
      </c>
      <c r="B33" s="150">
        <v>7.8100000000000005</v>
      </c>
      <c r="C33" s="150">
        <v>8.31</v>
      </c>
      <c r="D33" s="150">
        <v>8.33</v>
      </c>
      <c r="E33" s="150">
        <v>8.33</v>
      </c>
      <c r="F33" s="150">
        <v>8.33</v>
      </c>
      <c r="G33" s="150">
        <v>8.33</v>
      </c>
      <c r="H33" s="150">
        <v>8.33</v>
      </c>
      <c r="I33" s="150">
        <v>8.33</v>
      </c>
      <c r="J33" s="150">
        <v>8.33</v>
      </c>
      <c r="K33" s="150">
        <v>8.33</v>
      </c>
      <c r="L33" s="150">
        <v>8.33</v>
      </c>
      <c r="M33" s="355">
        <v>8.33</v>
      </c>
      <c r="N33" s="355">
        <v>8.26</v>
      </c>
      <c r="O33" s="355">
        <v>8.11</v>
      </c>
      <c r="P33" s="37">
        <v>7.9600000000000009</v>
      </c>
      <c r="Q33" s="150">
        <v>7.76</v>
      </c>
      <c r="R33" s="150">
        <v>7.5600000000000005</v>
      </c>
      <c r="S33" s="150">
        <v>7.26</v>
      </c>
      <c r="T33" s="150">
        <v>6.91</v>
      </c>
      <c r="U33" s="150">
        <v>6.51</v>
      </c>
      <c r="V33" s="150">
        <v>6.06</v>
      </c>
      <c r="W33" s="150">
        <v>5.56</v>
      </c>
      <c r="AV33" s="324">
        <v>6.2</v>
      </c>
      <c r="AW33" s="324">
        <v>100</v>
      </c>
      <c r="AX33" s="324">
        <v>100</v>
      </c>
      <c r="AY33" s="324">
        <v>100</v>
      </c>
      <c r="AZ33" s="324">
        <v>100</v>
      </c>
      <c r="BA33" s="324">
        <v>100</v>
      </c>
      <c r="BB33" s="324">
        <v>100</v>
      </c>
      <c r="BC33" s="324">
        <v>99</v>
      </c>
      <c r="BD33" s="324">
        <v>95</v>
      </c>
      <c r="BE33" s="324">
        <v>91</v>
      </c>
      <c r="BF33" s="324">
        <v>87</v>
      </c>
      <c r="BG33" s="324">
        <v>100</v>
      </c>
      <c r="BH33" s="324">
        <v>98</v>
      </c>
      <c r="BI33" s="324">
        <v>94</v>
      </c>
      <c r="BJ33" s="324">
        <v>90</v>
      </c>
      <c r="BK33" s="324">
        <v>86</v>
      </c>
      <c r="BL33" s="324">
        <v>82</v>
      </c>
      <c r="BM33" s="324">
        <v>78</v>
      </c>
      <c r="BN33" s="324">
        <v>75</v>
      </c>
      <c r="BO33" s="324">
        <v>71</v>
      </c>
      <c r="BP33" s="324">
        <v>91.89</v>
      </c>
    </row>
    <row r="34" spans="1:68" ht="19.5" thickBot="1" x14ac:dyDescent="0.35">
      <c r="A34" s="151">
        <v>0.36</v>
      </c>
      <c r="B34" s="150">
        <v>7.85</v>
      </c>
      <c r="C34" s="150">
        <v>8.33</v>
      </c>
      <c r="D34" s="150">
        <v>8.33</v>
      </c>
      <c r="E34" s="150">
        <v>8.33</v>
      </c>
      <c r="F34" s="150">
        <v>8.33</v>
      </c>
      <c r="G34" s="150">
        <v>8.33</v>
      </c>
      <c r="H34" s="150">
        <v>8.33</v>
      </c>
      <c r="I34" s="150">
        <v>8.33</v>
      </c>
      <c r="J34" s="150">
        <v>8.33</v>
      </c>
      <c r="K34" s="150">
        <v>8.33</v>
      </c>
      <c r="L34" s="150">
        <v>8.33</v>
      </c>
      <c r="M34" s="355">
        <v>8.33</v>
      </c>
      <c r="N34" s="355">
        <v>8.3000000000000007</v>
      </c>
      <c r="O34" s="355">
        <v>8.15</v>
      </c>
      <c r="P34" s="37">
        <v>8</v>
      </c>
      <c r="Q34" s="150">
        <v>7.8000000000000007</v>
      </c>
      <c r="R34" s="150">
        <v>7.6</v>
      </c>
      <c r="S34" s="150">
        <v>7.3000000000000007</v>
      </c>
      <c r="T34" s="150">
        <v>6.95</v>
      </c>
      <c r="U34" s="150">
        <v>6.55</v>
      </c>
      <c r="V34" s="150">
        <v>6.1</v>
      </c>
      <c r="W34" s="150">
        <v>5.6</v>
      </c>
      <c r="AV34" s="324">
        <v>6.1</v>
      </c>
      <c r="AW34" s="324">
        <v>100</v>
      </c>
      <c r="AX34" s="324">
        <v>100</v>
      </c>
      <c r="AY34" s="324">
        <v>100</v>
      </c>
      <c r="AZ34" s="324">
        <v>100</v>
      </c>
      <c r="BA34" s="324">
        <v>100</v>
      </c>
      <c r="BB34" s="324">
        <v>100</v>
      </c>
      <c r="BC34" s="324">
        <v>99</v>
      </c>
      <c r="BD34" s="324">
        <v>95</v>
      </c>
      <c r="BE34" s="324">
        <v>91</v>
      </c>
      <c r="BF34" s="324">
        <v>86</v>
      </c>
      <c r="BG34" s="324">
        <v>100</v>
      </c>
      <c r="BH34" s="324">
        <v>98</v>
      </c>
      <c r="BI34" s="324">
        <v>93</v>
      </c>
      <c r="BJ34" s="324">
        <v>89</v>
      </c>
      <c r="BK34" s="324">
        <v>86</v>
      </c>
      <c r="BL34" s="324">
        <v>81</v>
      </c>
      <c r="BM34" s="324">
        <v>78</v>
      </c>
      <c r="BN34" s="324">
        <v>74</v>
      </c>
      <c r="BO34" s="324">
        <v>70</v>
      </c>
      <c r="BP34" s="324">
        <v>91.58</v>
      </c>
    </row>
    <row r="35" spans="1:68" ht="19.5" thickBot="1" x14ac:dyDescent="0.35">
      <c r="A35" s="151">
        <v>0.37</v>
      </c>
      <c r="B35" s="150">
        <v>7.8800000000000008</v>
      </c>
      <c r="C35" s="150">
        <v>8.33</v>
      </c>
      <c r="D35" s="150">
        <v>8.33</v>
      </c>
      <c r="E35" s="150">
        <v>8.33</v>
      </c>
      <c r="F35" s="150">
        <v>8.33</v>
      </c>
      <c r="G35" s="150">
        <v>8.33</v>
      </c>
      <c r="H35" s="150">
        <v>8.33</v>
      </c>
      <c r="I35" s="150">
        <v>8.33</v>
      </c>
      <c r="J35" s="150">
        <v>8.33</v>
      </c>
      <c r="K35" s="150">
        <v>8.33</v>
      </c>
      <c r="L35" s="150">
        <v>8.33</v>
      </c>
      <c r="M35" s="355">
        <v>8.33</v>
      </c>
      <c r="N35" s="355">
        <v>8.33</v>
      </c>
      <c r="O35" s="355">
        <v>8.18</v>
      </c>
      <c r="P35" s="37">
        <v>8.0299999999999994</v>
      </c>
      <c r="Q35" s="150">
        <v>7.83</v>
      </c>
      <c r="R35" s="150">
        <v>7.6300000000000008</v>
      </c>
      <c r="S35" s="150">
        <v>7.33</v>
      </c>
      <c r="T35" s="150">
        <v>6.98</v>
      </c>
      <c r="U35" s="150">
        <v>6.58</v>
      </c>
      <c r="V35" s="150">
        <v>6.13</v>
      </c>
      <c r="W35" s="150">
        <v>5.63</v>
      </c>
      <c r="AV35" s="324">
        <v>6</v>
      </c>
      <c r="AW35" s="324">
        <v>100</v>
      </c>
      <c r="AX35" s="324">
        <v>100</v>
      </c>
      <c r="AY35" s="324">
        <v>100</v>
      </c>
      <c r="AZ35" s="324">
        <v>100</v>
      </c>
      <c r="BA35" s="324">
        <v>100</v>
      </c>
      <c r="BB35" s="324">
        <v>100</v>
      </c>
      <c r="BC35" s="324">
        <v>98</v>
      </c>
      <c r="BD35" s="324">
        <v>94</v>
      </c>
      <c r="BE35" s="324">
        <v>90</v>
      </c>
      <c r="BF35" s="324">
        <v>86</v>
      </c>
      <c r="BG35" s="324">
        <v>100</v>
      </c>
      <c r="BH35" s="324">
        <v>97</v>
      </c>
      <c r="BI35" s="324">
        <v>93</v>
      </c>
      <c r="BJ35" s="324">
        <v>89</v>
      </c>
      <c r="BK35" s="324">
        <v>85</v>
      </c>
      <c r="BL35" s="324">
        <v>81</v>
      </c>
      <c r="BM35" s="324">
        <v>77</v>
      </c>
      <c r="BN35" s="324">
        <v>73</v>
      </c>
      <c r="BO35" s="324">
        <v>69</v>
      </c>
      <c r="BP35" s="324">
        <v>91.16</v>
      </c>
    </row>
    <row r="36" spans="1:68" ht="19.5" thickBot="1" x14ac:dyDescent="0.35">
      <c r="A36" s="151">
        <v>0.38</v>
      </c>
      <c r="B36" s="150">
        <v>7.92</v>
      </c>
      <c r="C36" s="150">
        <v>8.33</v>
      </c>
      <c r="D36" s="150">
        <v>8.33</v>
      </c>
      <c r="E36" s="150">
        <v>8.33</v>
      </c>
      <c r="F36" s="150">
        <v>8.33</v>
      </c>
      <c r="G36" s="150">
        <v>8.33</v>
      </c>
      <c r="H36" s="150">
        <v>8.33</v>
      </c>
      <c r="I36" s="150">
        <v>8.33</v>
      </c>
      <c r="J36" s="150">
        <v>8.33</v>
      </c>
      <c r="K36" s="150">
        <v>8.33</v>
      </c>
      <c r="L36" s="150">
        <v>8.33</v>
      </c>
      <c r="M36" s="355">
        <v>8.33</v>
      </c>
      <c r="N36" s="355">
        <v>8.33</v>
      </c>
      <c r="O36" s="355">
        <v>8.2200000000000006</v>
      </c>
      <c r="P36" s="37">
        <v>8.07</v>
      </c>
      <c r="Q36" s="150">
        <v>7.8699999999999992</v>
      </c>
      <c r="R36" s="150">
        <v>7.67</v>
      </c>
      <c r="S36" s="150">
        <v>7.3699999999999992</v>
      </c>
      <c r="T36" s="150">
        <v>7.02</v>
      </c>
      <c r="U36" s="150">
        <v>6.62</v>
      </c>
      <c r="V36" s="150">
        <v>6.17</v>
      </c>
      <c r="W36" s="150">
        <v>5.67</v>
      </c>
      <c r="AV36" s="324">
        <v>5.9</v>
      </c>
      <c r="AW36" s="324">
        <v>100</v>
      </c>
      <c r="AX36" s="324">
        <v>100</v>
      </c>
      <c r="AY36" s="324">
        <v>100</v>
      </c>
      <c r="AZ36" s="324">
        <v>100</v>
      </c>
      <c r="BA36" s="324">
        <v>100</v>
      </c>
      <c r="BB36" s="324">
        <v>100</v>
      </c>
      <c r="BC36" s="324">
        <v>98</v>
      </c>
      <c r="BD36" s="324">
        <v>94</v>
      </c>
      <c r="BE36" s="324">
        <v>90</v>
      </c>
      <c r="BF36" s="324">
        <v>86</v>
      </c>
      <c r="BG36" s="324">
        <v>100</v>
      </c>
      <c r="BH36" s="324">
        <v>96</v>
      </c>
      <c r="BI36" s="324">
        <v>92</v>
      </c>
      <c r="BJ36" s="324">
        <v>88</v>
      </c>
      <c r="BK36" s="324">
        <v>84</v>
      </c>
      <c r="BL36" s="324">
        <v>80</v>
      </c>
      <c r="BM36" s="324">
        <v>76</v>
      </c>
      <c r="BN36" s="324">
        <v>72</v>
      </c>
      <c r="BO36" s="324">
        <v>68</v>
      </c>
      <c r="BP36" s="324">
        <v>90.74</v>
      </c>
    </row>
    <row r="37" spans="1:68" ht="19.5" thickBot="1" x14ac:dyDescent="0.35">
      <c r="A37" s="151">
        <v>0.39</v>
      </c>
      <c r="B37" s="150">
        <v>7.9499999999999993</v>
      </c>
      <c r="C37" s="150">
        <v>8.33</v>
      </c>
      <c r="D37" s="150">
        <v>8.33</v>
      </c>
      <c r="E37" s="150">
        <v>8.33</v>
      </c>
      <c r="F37" s="150">
        <v>8.33</v>
      </c>
      <c r="G37" s="150">
        <v>8.33</v>
      </c>
      <c r="H37" s="150">
        <v>8.33</v>
      </c>
      <c r="I37" s="150">
        <v>8.33</v>
      </c>
      <c r="J37" s="150">
        <v>8.33</v>
      </c>
      <c r="K37" s="150">
        <v>8.33</v>
      </c>
      <c r="L37" s="150">
        <v>8.33</v>
      </c>
      <c r="M37" s="355">
        <v>8.33</v>
      </c>
      <c r="N37" s="355">
        <v>8.33</v>
      </c>
      <c r="O37" s="355">
        <v>8.25</v>
      </c>
      <c r="P37" s="37">
        <v>8.1</v>
      </c>
      <c r="Q37" s="150">
        <v>7.9</v>
      </c>
      <c r="R37" s="150">
        <v>7.6999999999999993</v>
      </c>
      <c r="S37" s="150">
        <v>7.4</v>
      </c>
      <c r="T37" s="150">
        <v>7.0500000000000007</v>
      </c>
      <c r="U37" s="150">
        <v>6.65</v>
      </c>
      <c r="V37" s="150">
        <v>6.2</v>
      </c>
      <c r="W37" s="150">
        <v>5.7</v>
      </c>
      <c r="AV37" s="324">
        <v>5.8</v>
      </c>
      <c r="AW37" s="324">
        <v>100</v>
      </c>
      <c r="AX37" s="324">
        <v>100</v>
      </c>
      <c r="AY37" s="324">
        <v>100</v>
      </c>
      <c r="AZ37" s="324">
        <v>100</v>
      </c>
      <c r="BA37" s="324">
        <v>100</v>
      </c>
      <c r="BB37" s="324">
        <v>100</v>
      </c>
      <c r="BC37" s="324">
        <v>97</v>
      </c>
      <c r="BD37" s="324">
        <v>93</v>
      </c>
      <c r="BE37" s="324">
        <v>89</v>
      </c>
      <c r="BF37" s="324">
        <v>85</v>
      </c>
      <c r="BG37" s="324">
        <v>100</v>
      </c>
      <c r="BH37" s="324">
        <v>96</v>
      </c>
      <c r="BI37" s="324">
        <v>91</v>
      </c>
      <c r="BJ37" s="324">
        <v>88</v>
      </c>
      <c r="BK37" s="324">
        <v>84</v>
      </c>
      <c r="BL37" s="324">
        <v>79</v>
      </c>
      <c r="BM37" s="324">
        <v>76</v>
      </c>
      <c r="BN37" s="324">
        <v>71</v>
      </c>
      <c r="BO37" s="324">
        <v>67</v>
      </c>
      <c r="BP37" s="324">
        <v>90.32</v>
      </c>
    </row>
    <row r="38" spans="1:68" ht="19.5" thickBot="1" x14ac:dyDescent="0.35">
      <c r="A38" s="151">
        <v>0.4</v>
      </c>
      <c r="B38" s="150">
        <v>7.98</v>
      </c>
      <c r="C38" s="150">
        <v>8.33</v>
      </c>
      <c r="D38" s="150">
        <v>8.33</v>
      </c>
      <c r="E38" s="150">
        <v>8.33</v>
      </c>
      <c r="F38" s="150">
        <v>8.33</v>
      </c>
      <c r="G38" s="150">
        <v>8.33</v>
      </c>
      <c r="H38" s="150">
        <v>8.33</v>
      </c>
      <c r="I38" s="150">
        <v>8.33</v>
      </c>
      <c r="J38" s="150">
        <v>8.33</v>
      </c>
      <c r="K38" s="150">
        <v>8.33</v>
      </c>
      <c r="L38" s="150">
        <v>8.33</v>
      </c>
      <c r="M38" s="355">
        <v>8.33</v>
      </c>
      <c r="N38" s="355">
        <v>8.33</v>
      </c>
      <c r="O38" s="355">
        <v>8.2799999999999994</v>
      </c>
      <c r="P38" s="37">
        <v>8.1300000000000008</v>
      </c>
      <c r="Q38" s="150">
        <v>7.93</v>
      </c>
      <c r="R38" s="150">
        <v>7.73</v>
      </c>
      <c r="S38" s="150">
        <v>7.43</v>
      </c>
      <c r="T38" s="150">
        <v>7.08</v>
      </c>
      <c r="U38" s="150">
        <v>6.68</v>
      </c>
      <c r="V38" s="150">
        <v>6.23</v>
      </c>
      <c r="W38" s="150">
        <v>5.73</v>
      </c>
      <c r="AV38" s="324">
        <v>5.7</v>
      </c>
      <c r="AW38" s="324">
        <v>100</v>
      </c>
      <c r="AX38" s="324">
        <v>100</v>
      </c>
      <c r="AY38" s="324">
        <v>100</v>
      </c>
      <c r="AZ38" s="324">
        <v>100</v>
      </c>
      <c r="BA38" s="324">
        <v>100</v>
      </c>
      <c r="BB38" s="324">
        <v>100</v>
      </c>
      <c r="BC38" s="324">
        <v>97</v>
      </c>
      <c r="BD38" s="324">
        <v>93</v>
      </c>
      <c r="BE38" s="324">
        <v>88</v>
      </c>
      <c r="BF38" s="324">
        <v>85</v>
      </c>
      <c r="BG38" s="324">
        <v>99</v>
      </c>
      <c r="BH38" s="324">
        <v>95</v>
      </c>
      <c r="BI38" s="324">
        <v>90</v>
      </c>
      <c r="BJ38" s="324">
        <v>87</v>
      </c>
      <c r="BK38" s="324">
        <v>83</v>
      </c>
      <c r="BL38" s="324">
        <v>78</v>
      </c>
      <c r="BM38" s="324">
        <v>75</v>
      </c>
      <c r="BN38" s="324">
        <v>70</v>
      </c>
      <c r="BO38" s="324">
        <v>66</v>
      </c>
      <c r="BP38" s="324">
        <v>89.79</v>
      </c>
    </row>
    <row r="39" spans="1:68" ht="19.5" thickBot="1" x14ac:dyDescent="0.35">
      <c r="A39" s="152">
        <v>0.41</v>
      </c>
      <c r="B39" s="150">
        <v>8.01</v>
      </c>
      <c r="C39" s="150">
        <v>8.33</v>
      </c>
      <c r="D39" s="150">
        <v>8.33</v>
      </c>
      <c r="E39" s="150">
        <v>8.33</v>
      </c>
      <c r="F39" s="150">
        <v>8.33</v>
      </c>
      <c r="G39" s="150">
        <v>8.33</v>
      </c>
      <c r="H39" s="150">
        <v>8.33</v>
      </c>
      <c r="I39" s="150">
        <v>8.33</v>
      </c>
      <c r="J39" s="150">
        <v>8.33</v>
      </c>
      <c r="K39" s="150">
        <v>8.33</v>
      </c>
      <c r="L39" s="150">
        <v>8.33</v>
      </c>
      <c r="M39" s="355">
        <v>8.33</v>
      </c>
      <c r="N39" s="355">
        <v>8.33</v>
      </c>
      <c r="O39" s="355">
        <v>8.31</v>
      </c>
      <c r="P39" s="37">
        <v>8.16</v>
      </c>
      <c r="Q39" s="150">
        <v>7.9600000000000009</v>
      </c>
      <c r="R39" s="150">
        <v>7.76</v>
      </c>
      <c r="S39" s="150">
        <v>7.4600000000000009</v>
      </c>
      <c r="T39" s="150">
        <v>7.1099999999999994</v>
      </c>
      <c r="U39" s="150">
        <v>6.71</v>
      </c>
      <c r="V39" s="150">
        <v>6.26</v>
      </c>
      <c r="W39" s="150">
        <v>5.76</v>
      </c>
      <c r="AV39" s="324">
        <v>5.6</v>
      </c>
      <c r="AW39" s="324">
        <v>100</v>
      </c>
      <c r="AX39" s="324">
        <v>100</v>
      </c>
      <c r="AY39" s="324">
        <v>100</v>
      </c>
      <c r="AZ39" s="324">
        <v>100</v>
      </c>
      <c r="BA39" s="324">
        <v>100</v>
      </c>
      <c r="BB39" s="324">
        <v>100</v>
      </c>
      <c r="BC39" s="324">
        <v>97</v>
      </c>
      <c r="BD39" s="324">
        <v>93</v>
      </c>
      <c r="BE39" s="324">
        <v>88</v>
      </c>
      <c r="BF39" s="324">
        <v>84</v>
      </c>
      <c r="BG39" s="324">
        <v>99</v>
      </c>
      <c r="BH39" s="324">
        <v>95</v>
      </c>
      <c r="BI39" s="324">
        <v>90</v>
      </c>
      <c r="BJ39" s="324">
        <v>86</v>
      </c>
      <c r="BK39" s="324">
        <v>82</v>
      </c>
      <c r="BL39" s="324">
        <v>78</v>
      </c>
      <c r="BM39" s="324">
        <v>74</v>
      </c>
      <c r="BN39" s="324">
        <v>69</v>
      </c>
      <c r="BO39" s="324">
        <v>65</v>
      </c>
      <c r="BP39" s="324">
        <v>89.47</v>
      </c>
    </row>
    <row r="40" spans="1:68" ht="19.5" thickBot="1" x14ac:dyDescent="0.35">
      <c r="A40" s="152">
        <v>0.42</v>
      </c>
      <c r="B40" s="150">
        <v>8.0299999999999994</v>
      </c>
      <c r="C40" s="150">
        <v>8.33</v>
      </c>
      <c r="D40" s="150">
        <v>8.33</v>
      </c>
      <c r="E40" s="150">
        <v>8.33</v>
      </c>
      <c r="F40" s="150">
        <v>8.33</v>
      </c>
      <c r="G40" s="150">
        <v>8.33</v>
      </c>
      <c r="H40" s="150">
        <v>8.33</v>
      </c>
      <c r="I40" s="150">
        <v>8.33</v>
      </c>
      <c r="J40" s="150">
        <v>8.33</v>
      </c>
      <c r="K40" s="150">
        <v>8.33</v>
      </c>
      <c r="L40" s="150">
        <v>8.33</v>
      </c>
      <c r="M40" s="355">
        <v>8.33</v>
      </c>
      <c r="N40" s="355">
        <v>8.33</v>
      </c>
      <c r="O40" s="355">
        <v>8.33</v>
      </c>
      <c r="P40" s="37">
        <v>8.18</v>
      </c>
      <c r="Q40" s="150">
        <v>7.98</v>
      </c>
      <c r="R40" s="150">
        <v>7.7799999999999994</v>
      </c>
      <c r="S40" s="150">
        <v>7.48</v>
      </c>
      <c r="T40" s="150">
        <v>7.1300000000000008</v>
      </c>
      <c r="U40" s="150">
        <v>6.73</v>
      </c>
      <c r="V40" s="150">
        <v>6.28</v>
      </c>
      <c r="W40" s="150">
        <v>5.78</v>
      </c>
      <c r="AV40" s="324">
        <v>5.5</v>
      </c>
      <c r="AW40" s="324">
        <v>100</v>
      </c>
      <c r="AX40" s="324">
        <v>100</v>
      </c>
      <c r="AY40" s="324">
        <v>100</v>
      </c>
      <c r="AZ40" s="324">
        <v>100</v>
      </c>
      <c r="BA40" s="324">
        <v>100</v>
      </c>
      <c r="BB40" s="324">
        <v>100</v>
      </c>
      <c r="BC40" s="324">
        <v>96</v>
      </c>
      <c r="BD40" s="324">
        <v>92</v>
      </c>
      <c r="BE40" s="324">
        <v>87</v>
      </c>
      <c r="BF40" s="324">
        <v>83</v>
      </c>
      <c r="BG40" s="324">
        <v>98</v>
      </c>
      <c r="BH40" s="324">
        <v>94</v>
      </c>
      <c r="BI40" s="324">
        <v>89</v>
      </c>
      <c r="BJ40" s="324">
        <v>85</v>
      </c>
      <c r="BK40" s="324">
        <v>81</v>
      </c>
      <c r="BL40" s="324">
        <v>77</v>
      </c>
      <c r="BM40" s="324">
        <v>73</v>
      </c>
      <c r="BN40" s="324">
        <v>68</v>
      </c>
      <c r="BO40" s="324">
        <v>64</v>
      </c>
      <c r="BP40" s="324">
        <v>88.79</v>
      </c>
    </row>
    <row r="41" spans="1:68" ht="19.5" thickBot="1" x14ac:dyDescent="0.35">
      <c r="A41" s="152">
        <v>0.43</v>
      </c>
      <c r="B41" s="150">
        <v>8.0500000000000007</v>
      </c>
      <c r="C41" s="150">
        <v>8.33</v>
      </c>
      <c r="D41" s="150">
        <v>8.33</v>
      </c>
      <c r="E41" s="150">
        <v>8.33</v>
      </c>
      <c r="F41" s="150">
        <v>8.33</v>
      </c>
      <c r="G41" s="150">
        <v>8.33</v>
      </c>
      <c r="H41" s="150">
        <v>8.33</v>
      </c>
      <c r="I41" s="150">
        <v>8.33</v>
      </c>
      <c r="J41" s="150">
        <v>8.33</v>
      </c>
      <c r="K41" s="150">
        <v>8.33</v>
      </c>
      <c r="L41" s="150">
        <v>8.33</v>
      </c>
      <c r="M41" s="355">
        <v>8.33</v>
      </c>
      <c r="N41" s="355">
        <v>8.33</v>
      </c>
      <c r="O41" s="355">
        <v>8.33</v>
      </c>
      <c r="P41" s="37">
        <v>8.1999999999999993</v>
      </c>
      <c r="Q41" s="150">
        <v>8</v>
      </c>
      <c r="R41" s="150">
        <v>7.8000000000000007</v>
      </c>
      <c r="S41" s="150">
        <v>7.5</v>
      </c>
      <c r="T41" s="150">
        <v>7.15</v>
      </c>
      <c r="U41" s="150">
        <v>6.75</v>
      </c>
      <c r="V41" s="150">
        <v>6.3</v>
      </c>
      <c r="W41" s="150">
        <v>5.8</v>
      </c>
      <c r="AV41" s="324">
        <v>5.4</v>
      </c>
      <c r="AW41" s="324">
        <v>100</v>
      </c>
      <c r="AX41" s="324">
        <v>100</v>
      </c>
      <c r="AY41" s="324">
        <v>100</v>
      </c>
      <c r="AZ41" s="324">
        <v>100</v>
      </c>
      <c r="BA41" s="324">
        <v>100</v>
      </c>
      <c r="BB41" s="324">
        <v>99</v>
      </c>
      <c r="BC41" s="324">
        <v>95</v>
      </c>
      <c r="BD41" s="324">
        <v>91</v>
      </c>
      <c r="BE41" s="324">
        <v>87</v>
      </c>
      <c r="BF41" s="324">
        <v>82</v>
      </c>
      <c r="BG41" s="324">
        <v>97</v>
      </c>
      <c r="BH41" s="324">
        <v>93</v>
      </c>
      <c r="BI41" s="324">
        <v>88</v>
      </c>
      <c r="BJ41" s="324">
        <v>84</v>
      </c>
      <c r="BK41" s="324">
        <v>80</v>
      </c>
      <c r="BL41" s="324">
        <v>76</v>
      </c>
      <c r="BM41" s="324">
        <v>72</v>
      </c>
      <c r="BN41" s="324">
        <v>67</v>
      </c>
      <c r="BO41" s="324">
        <v>63</v>
      </c>
      <c r="BP41" s="324">
        <v>88.11</v>
      </c>
    </row>
    <row r="42" spans="1:68" ht="19.5" thickBot="1" x14ac:dyDescent="0.35">
      <c r="A42" s="152">
        <v>0.44</v>
      </c>
      <c r="B42" s="150">
        <v>8.08</v>
      </c>
      <c r="C42" s="150">
        <v>8.33</v>
      </c>
      <c r="D42" s="150">
        <v>8.33</v>
      </c>
      <c r="E42" s="150">
        <v>8.33</v>
      </c>
      <c r="F42" s="150">
        <v>8.33</v>
      </c>
      <c r="G42" s="150">
        <v>8.33</v>
      </c>
      <c r="H42" s="150">
        <v>8.33</v>
      </c>
      <c r="I42" s="150">
        <v>8.33</v>
      </c>
      <c r="J42" s="150">
        <v>8.33</v>
      </c>
      <c r="K42" s="150">
        <v>8.33</v>
      </c>
      <c r="L42" s="150">
        <v>8.33</v>
      </c>
      <c r="M42" s="355">
        <v>8.33</v>
      </c>
      <c r="N42" s="355">
        <v>8.33</v>
      </c>
      <c r="O42" s="355">
        <v>8.33</v>
      </c>
      <c r="P42" s="37">
        <v>8.23</v>
      </c>
      <c r="Q42" s="150">
        <v>8.0299999999999994</v>
      </c>
      <c r="R42" s="150">
        <v>7.83</v>
      </c>
      <c r="S42" s="150">
        <v>7.5299999999999994</v>
      </c>
      <c r="T42" s="150">
        <v>7.18</v>
      </c>
      <c r="U42" s="150">
        <v>6.78</v>
      </c>
      <c r="V42" s="150">
        <v>6.33</v>
      </c>
      <c r="W42" s="150">
        <v>5.83</v>
      </c>
      <c r="AV42" s="324">
        <v>5.3</v>
      </c>
      <c r="AW42" s="324">
        <v>100</v>
      </c>
      <c r="AX42" s="324">
        <v>100</v>
      </c>
      <c r="AY42" s="324">
        <v>100</v>
      </c>
      <c r="AZ42" s="324">
        <v>100</v>
      </c>
      <c r="BA42" s="324">
        <v>100</v>
      </c>
      <c r="BB42" s="324">
        <v>99</v>
      </c>
      <c r="BC42" s="324">
        <v>95</v>
      </c>
      <c r="BD42" s="324">
        <v>91</v>
      </c>
      <c r="BE42" s="324">
        <v>86</v>
      </c>
      <c r="BF42" s="324">
        <v>82</v>
      </c>
      <c r="BG42" s="324">
        <v>97</v>
      </c>
      <c r="BH42" s="324">
        <v>92</v>
      </c>
      <c r="BI42" s="324">
        <v>88</v>
      </c>
      <c r="BJ42" s="324">
        <v>84</v>
      </c>
      <c r="BK42" s="324">
        <v>80</v>
      </c>
      <c r="BL42" s="324">
        <v>75</v>
      </c>
      <c r="BM42" s="324">
        <v>71</v>
      </c>
      <c r="BN42" s="324">
        <v>67</v>
      </c>
      <c r="BO42" s="324">
        <v>62</v>
      </c>
      <c r="BP42" s="324">
        <v>87.84</v>
      </c>
    </row>
    <row r="43" spans="1:68" ht="19.5" thickBot="1" x14ac:dyDescent="0.35">
      <c r="A43" s="152">
        <v>0.45</v>
      </c>
      <c r="B43" s="150">
        <v>8.1</v>
      </c>
      <c r="C43" s="150">
        <v>8.33</v>
      </c>
      <c r="D43" s="150">
        <v>8.33</v>
      </c>
      <c r="E43" s="150">
        <v>8.33</v>
      </c>
      <c r="F43" s="150">
        <v>8.33</v>
      </c>
      <c r="G43" s="150">
        <v>8.33</v>
      </c>
      <c r="H43" s="150">
        <v>8.33</v>
      </c>
      <c r="I43" s="150">
        <v>8.33</v>
      </c>
      <c r="J43" s="150">
        <v>8.33</v>
      </c>
      <c r="K43" s="150">
        <v>8.33</v>
      </c>
      <c r="L43" s="150">
        <v>8.33</v>
      </c>
      <c r="M43" s="355">
        <v>8.33</v>
      </c>
      <c r="N43" s="355">
        <v>8.33</v>
      </c>
      <c r="O43" s="355">
        <v>8.33</v>
      </c>
      <c r="P43" s="37">
        <v>8.25</v>
      </c>
      <c r="Q43" s="150">
        <v>8.0500000000000007</v>
      </c>
      <c r="R43" s="150">
        <v>7.85</v>
      </c>
      <c r="S43" s="150">
        <v>7.5500000000000007</v>
      </c>
      <c r="T43" s="150">
        <v>7.1999999999999993</v>
      </c>
      <c r="U43" s="150">
        <v>6.8</v>
      </c>
      <c r="V43" s="150">
        <v>6.35</v>
      </c>
      <c r="W43" s="150">
        <v>5.85</v>
      </c>
      <c r="AV43" s="324">
        <v>5.2</v>
      </c>
      <c r="AW43" s="324">
        <v>100</v>
      </c>
      <c r="AX43" s="324">
        <v>100</v>
      </c>
      <c r="AY43" s="324">
        <v>100</v>
      </c>
      <c r="AZ43" s="324">
        <v>100</v>
      </c>
      <c r="BA43" s="324">
        <v>100</v>
      </c>
      <c r="BB43" s="324">
        <v>99</v>
      </c>
      <c r="BC43" s="324">
        <v>94</v>
      </c>
      <c r="BD43" s="324">
        <v>90</v>
      </c>
      <c r="BE43" s="324">
        <v>86</v>
      </c>
      <c r="BF43" s="324">
        <v>81</v>
      </c>
      <c r="BG43" s="324">
        <v>96</v>
      </c>
      <c r="BH43" s="324">
        <v>91</v>
      </c>
      <c r="BI43" s="324">
        <v>87</v>
      </c>
      <c r="BJ43" s="324">
        <v>83</v>
      </c>
      <c r="BK43" s="324">
        <v>78</v>
      </c>
      <c r="BL43" s="324">
        <v>74</v>
      </c>
      <c r="BM43" s="324">
        <v>70</v>
      </c>
      <c r="BN43" s="324">
        <v>66</v>
      </c>
      <c r="BO43" s="324">
        <v>61</v>
      </c>
      <c r="BP43" s="324">
        <v>87.16</v>
      </c>
    </row>
    <row r="44" spans="1:68" ht="19.5" thickBot="1" x14ac:dyDescent="0.35">
      <c r="A44" s="152">
        <v>0.46</v>
      </c>
      <c r="B44" s="150">
        <v>8.11</v>
      </c>
      <c r="C44" s="150">
        <v>8.33</v>
      </c>
      <c r="D44" s="150">
        <v>8.33</v>
      </c>
      <c r="E44" s="150">
        <v>8.33</v>
      </c>
      <c r="F44" s="150">
        <v>8.33</v>
      </c>
      <c r="G44" s="150">
        <v>8.33</v>
      </c>
      <c r="H44" s="150">
        <v>8.33</v>
      </c>
      <c r="I44" s="150">
        <v>8.33</v>
      </c>
      <c r="J44" s="150">
        <v>8.33</v>
      </c>
      <c r="K44" s="150">
        <v>8.33</v>
      </c>
      <c r="L44" s="150">
        <v>8.33</v>
      </c>
      <c r="M44" s="355">
        <v>8.33</v>
      </c>
      <c r="N44" s="355">
        <v>8.33</v>
      </c>
      <c r="O44" s="355">
        <v>8.33</v>
      </c>
      <c r="P44" s="37">
        <v>8.26</v>
      </c>
      <c r="Q44" s="150">
        <v>8.06</v>
      </c>
      <c r="R44" s="150">
        <v>7.8599999999999994</v>
      </c>
      <c r="S44" s="150">
        <v>7.5600000000000005</v>
      </c>
      <c r="T44" s="150">
        <v>7.2100000000000009</v>
      </c>
      <c r="U44" s="150">
        <v>6.81</v>
      </c>
      <c r="V44" s="150">
        <v>6.36</v>
      </c>
      <c r="W44" s="150">
        <v>5.86</v>
      </c>
      <c r="AV44" s="324">
        <v>5.0999999999999996</v>
      </c>
      <c r="AW44" s="324">
        <v>100</v>
      </c>
      <c r="AX44" s="324">
        <v>100</v>
      </c>
      <c r="AY44" s="324">
        <v>100</v>
      </c>
      <c r="AZ44" s="324">
        <v>100</v>
      </c>
      <c r="BA44" s="324">
        <v>100</v>
      </c>
      <c r="BB44" s="324">
        <v>98</v>
      </c>
      <c r="BC44" s="324">
        <v>94</v>
      </c>
      <c r="BD44" s="324">
        <v>89</v>
      </c>
      <c r="BE44" s="324">
        <v>85</v>
      </c>
      <c r="BF44" s="324">
        <v>81</v>
      </c>
      <c r="BG44" s="324">
        <v>95</v>
      </c>
      <c r="BH44" s="324">
        <v>91</v>
      </c>
      <c r="BI44" s="324">
        <v>86</v>
      </c>
      <c r="BJ44" s="324">
        <v>82</v>
      </c>
      <c r="BK44" s="324">
        <v>78</v>
      </c>
      <c r="BL44" s="324">
        <v>73</v>
      </c>
      <c r="BM44" s="324">
        <v>69</v>
      </c>
      <c r="BN44" s="324">
        <v>64</v>
      </c>
      <c r="BO44" s="324">
        <v>60</v>
      </c>
      <c r="BP44" s="324">
        <v>86.58</v>
      </c>
    </row>
    <row r="45" spans="1:68" ht="19.5" thickBot="1" x14ac:dyDescent="0.35">
      <c r="A45" s="152">
        <v>0.47</v>
      </c>
      <c r="B45" s="150">
        <v>8.1300000000000008</v>
      </c>
      <c r="C45" s="150">
        <v>8.33</v>
      </c>
      <c r="D45" s="150">
        <v>8.33</v>
      </c>
      <c r="E45" s="150">
        <v>8.33</v>
      </c>
      <c r="F45" s="150">
        <v>8.33</v>
      </c>
      <c r="G45" s="150">
        <v>8.33</v>
      </c>
      <c r="H45" s="150">
        <v>8.33</v>
      </c>
      <c r="I45" s="150">
        <v>8.33</v>
      </c>
      <c r="J45" s="150">
        <v>8.33</v>
      </c>
      <c r="K45" s="150">
        <v>8.33</v>
      </c>
      <c r="L45" s="150">
        <v>8.33</v>
      </c>
      <c r="M45" s="355">
        <v>8.33</v>
      </c>
      <c r="N45" s="355">
        <v>8.33</v>
      </c>
      <c r="O45" s="355">
        <v>8.33</v>
      </c>
      <c r="P45" s="37">
        <v>8.2799999999999994</v>
      </c>
      <c r="Q45" s="150">
        <v>8.08</v>
      </c>
      <c r="R45" s="150">
        <v>7.8800000000000008</v>
      </c>
      <c r="S45" s="150">
        <v>7.58</v>
      </c>
      <c r="T45" s="150">
        <v>7.23</v>
      </c>
      <c r="U45" s="150">
        <v>6.83</v>
      </c>
      <c r="V45" s="150">
        <v>6.38</v>
      </c>
      <c r="W45" s="150">
        <v>5.88</v>
      </c>
      <c r="AV45" s="324">
        <v>5</v>
      </c>
      <c r="AW45" s="324">
        <v>100</v>
      </c>
      <c r="AX45" s="324">
        <v>100</v>
      </c>
      <c r="AY45" s="324">
        <v>100</v>
      </c>
      <c r="AZ45" s="324">
        <v>100</v>
      </c>
      <c r="BA45" s="324">
        <v>100</v>
      </c>
      <c r="BB45" s="324">
        <v>97</v>
      </c>
      <c r="BC45" s="324">
        <v>93</v>
      </c>
      <c r="BD45" s="324">
        <v>89</v>
      </c>
      <c r="BE45" s="324">
        <v>84</v>
      </c>
      <c r="BF45" s="324">
        <v>80</v>
      </c>
      <c r="BG45" s="324">
        <v>95</v>
      </c>
      <c r="BH45" s="324">
        <v>90</v>
      </c>
      <c r="BI45" s="324">
        <v>85</v>
      </c>
      <c r="BJ45" s="324">
        <v>81</v>
      </c>
      <c r="BK45" s="324">
        <v>77</v>
      </c>
      <c r="BL45" s="324">
        <v>72</v>
      </c>
      <c r="BM45" s="324">
        <v>68</v>
      </c>
      <c r="BN45" s="324">
        <v>63</v>
      </c>
      <c r="BO45" s="324">
        <v>59</v>
      </c>
      <c r="BP45" s="324">
        <v>85.95</v>
      </c>
    </row>
    <row r="46" spans="1:68" ht="18.75" x14ac:dyDescent="0.3">
      <c r="A46" s="152">
        <v>0.48</v>
      </c>
      <c r="B46" s="150">
        <v>8.15</v>
      </c>
      <c r="C46" s="150">
        <v>8.33</v>
      </c>
      <c r="D46" s="150">
        <v>8.33</v>
      </c>
      <c r="E46" s="150">
        <v>8.33</v>
      </c>
      <c r="F46" s="150">
        <v>8.33</v>
      </c>
      <c r="G46" s="150">
        <v>8.33</v>
      </c>
      <c r="H46" s="150">
        <v>8.33</v>
      </c>
      <c r="I46" s="150">
        <v>8.33</v>
      </c>
      <c r="J46" s="150">
        <v>8.33</v>
      </c>
      <c r="K46" s="150">
        <v>8.33</v>
      </c>
      <c r="L46" s="150">
        <v>8.33</v>
      </c>
      <c r="M46" s="355">
        <v>8.33</v>
      </c>
      <c r="N46" s="355">
        <v>8.33</v>
      </c>
      <c r="O46" s="355">
        <v>8.33</v>
      </c>
      <c r="P46" s="37">
        <v>8.3000000000000007</v>
      </c>
      <c r="Q46" s="150">
        <v>8.1</v>
      </c>
      <c r="R46" s="150">
        <v>7.9</v>
      </c>
      <c r="S46" s="150">
        <v>7.6</v>
      </c>
      <c r="T46" s="150">
        <v>7.25</v>
      </c>
      <c r="U46" s="150">
        <v>6.85</v>
      </c>
      <c r="V46" s="150">
        <v>6.4</v>
      </c>
      <c r="W46" s="150">
        <v>5.9</v>
      </c>
    </row>
    <row r="47" spans="1:68" ht="18.75" x14ac:dyDescent="0.3">
      <c r="A47" s="152">
        <v>0.49</v>
      </c>
      <c r="B47" s="150">
        <v>8.16</v>
      </c>
      <c r="C47" s="150">
        <v>8.33</v>
      </c>
      <c r="D47" s="150">
        <v>8.33</v>
      </c>
      <c r="E47" s="150">
        <v>8.33</v>
      </c>
      <c r="F47" s="150">
        <v>8.33</v>
      </c>
      <c r="G47" s="150">
        <v>8.33</v>
      </c>
      <c r="H47" s="150">
        <v>8.33</v>
      </c>
      <c r="I47" s="150">
        <v>8.33</v>
      </c>
      <c r="J47" s="150">
        <v>8.33</v>
      </c>
      <c r="K47" s="150">
        <v>8.33</v>
      </c>
      <c r="L47" s="150">
        <v>8.33</v>
      </c>
      <c r="M47" s="355">
        <v>8.33</v>
      </c>
      <c r="N47" s="355">
        <v>8.33</v>
      </c>
      <c r="O47" s="355">
        <v>8.33</v>
      </c>
      <c r="P47" s="37">
        <v>8.31</v>
      </c>
      <c r="Q47" s="150">
        <v>8.11</v>
      </c>
      <c r="R47" s="150">
        <v>7.91</v>
      </c>
      <c r="S47" s="150">
        <v>7.6099999999999994</v>
      </c>
      <c r="T47" s="150">
        <v>7.26</v>
      </c>
      <c r="U47" s="150">
        <v>6.86</v>
      </c>
      <c r="V47" s="150">
        <v>6.41</v>
      </c>
      <c r="W47" s="150">
        <v>5.91</v>
      </c>
    </row>
    <row r="48" spans="1:68" ht="18.75" x14ac:dyDescent="0.3">
      <c r="A48" s="152">
        <v>0.5</v>
      </c>
      <c r="B48" s="150">
        <v>8.18</v>
      </c>
      <c r="C48" s="150">
        <v>8.33</v>
      </c>
      <c r="D48" s="150">
        <v>8.33</v>
      </c>
      <c r="E48" s="150">
        <v>8.33</v>
      </c>
      <c r="F48" s="150">
        <v>8.33</v>
      </c>
      <c r="G48" s="150">
        <v>8.33</v>
      </c>
      <c r="H48" s="150">
        <v>8.33</v>
      </c>
      <c r="I48" s="150">
        <v>8.33</v>
      </c>
      <c r="J48" s="150">
        <v>8.33</v>
      </c>
      <c r="K48" s="150">
        <v>8.33</v>
      </c>
      <c r="L48" s="150">
        <v>8.33</v>
      </c>
      <c r="M48" s="355">
        <v>8.33</v>
      </c>
      <c r="N48" s="355">
        <v>8.33</v>
      </c>
      <c r="O48" s="355">
        <v>8.33</v>
      </c>
      <c r="P48" s="37">
        <v>8.33</v>
      </c>
      <c r="Q48" s="150">
        <v>8.1300000000000008</v>
      </c>
      <c r="R48" s="150">
        <v>7.93</v>
      </c>
      <c r="S48" s="150">
        <v>7.6300000000000008</v>
      </c>
      <c r="T48" s="150">
        <v>7.2799999999999994</v>
      </c>
      <c r="U48" s="150">
        <v>6.88</v>
      </c>
      <c r="V48" s="150">
        <v>6.43</v>
      </c>
      <c r="W48" s="150">
        <v>5.93</v>
      </c>
    </row>
    <row r="50" spans="1:23" x14ac:dyDescent="0.25">
      <c r="A50" s="293" t="s">
        <v>1190</v>
      </c>
      <c r="G50" s="100"/>
      <c r="H50" s="100"/>
      <c r="I50" s="100"/>
      <c r="J50" s="100"/>
      <c r="K50" s="100"/>
      <c r="L50" s="100"/>
      <c r="M50" s="100"/>
      <c r="N50" s="100"/>
      <c r="O50" s="100"/>
      <c r="P50" s="100"/>
      <c r="Q50" s="100"/>
      <c r="R50" s="100"/>
      <c r="S50" s="100"/>
      <c r="T50" s="100"/>
      <c r="U50" s="100"/>
      <c r="V50" s="100"/>
      <c r="W50" s="100"/>
    </row>
    <row r="51" spans="1:23" x14ac:dyDescent="0.25">
      <c r="A51" s="293" t="s">
        <v>1191</v>
      </c>
      <c r="G51" s="100"/>
      <c r="H51" s="100"/>
      <c r="I51" s="100"/>
      <c r="J51" s="100"/>
      <c r="K51" s="100"/>
      <c r="L51" s="100"/>
      <c r="M51" s="100"/>
      <c r="N51" s="100"/>
      <c r="O51" s="100"/>
      <c r="P51" s="100"/>
      <c r="Q51" s="100"/>
      <c r="R51" s="100"/>
      <c r="S51" s="100"/>
      <c r="T51" s="100"/>
      <c r="U51" s="100"/>
      <c r="V51" s="100"/>
      <c r="W51" s="100"/>
    </row>
    <row r="52" spans="1:23" x14ac:dyDescent="0.25">
      <c r="A52" s="293" t="s">
        <v>1192</v>
      </c>
      <c r="G52" s="100"/>
      <c r="H52" s="100"/>
      <c r="I52" s="100"/>
      <c r="J52" s="100"/>
      <c r="K52" s="100"/>
      <c r="L52" s="100"/>
      <c r="M52" s="100"/>
      <c r="N52" s="100"/>
      <c r="O52" s="100"/>
      <c r="P52" s="100"/>
      <c r="Q52" s="100"/>
      <c r="R52" s="100"/>
      <c r="S52" s="100"/>
      <c r="T52" s="100"/>
      <c r="U52" s="100"/>
      <c r="V52" s="100"/>
      <c r="W52" s="100"/>
    </row>
    <row r="53" spans="1:23" x14ac:dyDescent="0.25">
      <c r="G53" s="100"/>
      <c r="H53" s="100"/>
      <c r="I53" s="100"/>
      <c r="J53" s="100"/>
      <c r="K53" s="100"/>
      <c r="L53" s="100"/>
      <c r="M53" s="100"/>
      <c r="N53" s="100"/>
      <c r="O53" s="100"/>
      <c r="P53" s="100"/>
      <c r="Q53" s="100"/>
      <c r="R53" s="100"/>
      <c r="S53" s="100"/>
      <c r="T53" s="100"/>
      <c r="U53" s="100"/>
      <c r="V53" s="100"/>
      <c r="W53" s="100"/>
    </row>
    <row r="54" spans="1:23" x14ac:dyDescent="0.25">
      <c r="G54" s="100"/>
      <c r="H54" s="100"/>
      <c r="I54" s="100"/>
      <c r="J54" s="100"/>
      <c r="K54" s="100"/>
      <c r="L54" s="100"/>
      <c r="M54" s="100"/>
      <c r="N54" s="100"/>
      <c r="O54" s="100"/>
      <c r="P54" s="100"/>
      <c r="Q54" s="100"/>
      <c r="R54" s="100"/>
      <c r="S54" s="100"/>
      <c r="T54" s="100"/>
      <c r="U54" s="100"/>
      <c r="V54" s="100"/>
      <c r="W54" s="100"/>
    </row>
    <row r="55" spans="1:23" x14ac:dyDescent="0.25">
      <c r="G55" s="100"/>
      <c r="H55" s="100"/>
      <c r="I55" s="100"/>
      <c r="J55" s="100"/>
      <c r="K55" s="100"/>
      <c r="L55" s="100"/>
      <c r="M55" s="100"/>
      <c r="N55" s="100"/>
      <c r="O55" s="100"/>
      <c r="P55" s="100"/>
      <c r="Q55" s="100"/>
      <c r="R55" s="100"/>
      <c r="S55" s="100"/>
      <c r="T55" s="100"/>
      <c r="U55" s="100"/>
      <c r="V55" s="100"/>
      <c r="W55" s="100"/>
    </row>
    <row r="56" spans="1:23" x14ac:dyDescent="0.25">
      <c r="A56" s="101" t="s">
        <v>626</v>
      </c>
    </row>
    <row r="58" spans="1:23" x14ac:dyDescent="0.25">
      <c r="A58" s="102" t="s">
        <v>292</v>
      </c>
      <c r="B58" s="102" t="s">
        <v>293</v>
      </c>
      <c r="C58" s="102" t="s">
        <v>294</v>
      </c>
      <c r="D58" s="102" t="s">
        <v>295</v>
      </c>
      <c r="E58" s="102" t="s">
        <v>296</v>
      </c>
      <c r="F58" s="102" t="s">
        <v>297</v>
      </c>
      <c r="H58" s="98" t="s">
        <v>619</v>
      </c>
    </row>
    <row r="59" spans="1:23" ht="23.25" x14ac:dyDescent="0.25">
      <c r="A59" s="103">
        <v>17</v>
      </c>
      <c r="B59" s="778" t="s">
        <v>43</v>
      </c>
      <c r="C59" s="104" t="s">
        <v>44</v>
      </c>
      <c r="D59" s="779" t="s">
        <v>45</v>
      </c>
      <c r="E59" s="779" t="s">
        <v>45</v>
      </c>
      <c r="F59" s="105" t="s">
        <v>46</v>
      </c>
      <c r="H59" s="99" t="s">
        <v>625</v>
      </c>
    </row>
    <row r="60" spans="1:23" ht="23.25" x14ac:dyDescent="0.25">
      <c r="A60" s="106">
        <v>18</v>
      </c>
      <c r="B60" s="778"/>
      <c r="C60" s="104" t="s">
        <v>298</v>
      </c>
      <c r="D60" s="779"/>
      <c r="E60" s="779"/>
      <c r="F60" s="105" t="s">
        <v>299</v>
      </c>
      <c r="H60" s="100" t="s">
        <v>628</v>
      </c>
    </row>
    <row r="61" spans="1:23" x14ac:dyDescent="0.25">
      <c r="A61" s="103">
        <v>19</v>
      </c>
      <c r="B61" s="778"/>
      <c r="C61" s="107"/>
      <c r="D61" s="779"/>
      <c r="E61" s="779"/>
      <c r="F61" s="108"/>
      <c r="H61" s="100" t="s">
        <v>629</v>
      </c>
      <c r="I61" s="100"/>
    </row>
    <row r="62" spans="1:23" x14ac:dyDescent="0.25">
      <c r="A62" s="106">
        <v>20</v>
      </c>
      <c r="B62" s="778"/>
      <c r="C62" s="105" t="s">
        <v>45</v>
      </c>
      <c r="D62" s="780" t="s">
        <v>46</v>
      </c>
      <c r="E62" s="105" t="s">
        <v>46</v>
      </c>
      <c r="F62" s="108"/>
      <c r="H62" s="100" t="s">
        <v>620</v>
      </c>
    </row>
    <row r="63" spans="1:23" ht="23.25" x14ac:dyDescent="0.25">
      <c r="A63" s="103">
        <v>21</v>
      </c>
      <c r="B63" s="781" t="s">
        <v>44</v>
      </c>
      <c r="C63" s="105" t="s">
        <v>300</v>
      </c>
      <c r="D63" s="780"/>
      <c r="E63" s="105" t="s">
        <v>299</v>
      </c>
      <c r="F63" s="108"/>
      <c r="H63" s="100" t="s">
        <v>621</v>
      </c>
    </row>
    <row r="64" spans="1:23" x14ac:dyDescent="0.25">
      <c r="A64" s="106">
        <v>22</v>
      </c>
      <c r="B64" s="781"/>
      <c r="C64" s="108"/>
      <c r="D64" s="780"/>
      <c r="E64" s="108"/>
      <c r="F64" s="108"/>
      <c r="H64" s="100" t="s">
        <v>622</v>
      </c>
    </row>
    <row r="65" spans="1:8" x14ac:dyDescent="0.25">
      <c r="A65" s="103">
        <v>23</v>
      </c>
      <c r="B65" s="781"/>
      <c r="C65" s="108"/>
      <c r="D65" s="780"/>
      <c r="E65" s="108"/>
      <c r="F65" s="108"/>
      <c r="H65" s="100"/>
    </row>
    <row r="66" spans="1:8" x14ac:dyDescent="0.25">
      <c r="A66" s="106">
        <v>24</v>
      </c>
      <c r="B66" s="781"/>
      <c r="C66" s="108"/>
      <c r="D66" s="780"/>
      <c r="E66" s="108"/>
      <c r="F66" s="108"/>
      <c r="H66" s="98" t="s">
        <v>623</v>
      </c>
    </row>
    <row r="67" spans="1:8" x14ac:dyDescent="0.25">
      <c r="A67" s="103">
        <v>25</v>
      </c>
      <c r="B67" s="781"/>
      <c r="C67" s="108"/>
      <c r="D67" s="779" t="s">
        <v>45</v>
      </c>
      <c r="E67" s="108"/>
      <c r="F67" s="108"/>
      <c r="H67" s="100" t="s">
        <v>624</v>
      </c>
    </row>
    <row r="68" spans="1:8" x14ac:dyDescent="0.25">
      <c r="A68" s="106">
        <v>26</v>
      </c>
      <c r="B68" s="781"/>
      <c r="C68" s="779" t="s">
        <v>45</v>
      </c>
      <c r="D68" s="779"/>
      <c r="E68" s="108"/>
      <c r="F68" s="108"/>
    </row>
    <row r="69" spans="1:8" x14ac:dyDescent="0.25">
      <c r="A69" s="103">
        <v>27</v>
      </c>
      <c r="B69" s="778" t="s">
        <v>43</v>
      </c>
      <c r="C69" s="779"/>
      <c r="D69" s="779"/>
      <c r="E69" s="108"/>
      <c r="F69" s="108"/>
    </row>
    <row r="70" spans="1:8" x14ac:dyDescent="0.25">
      <c r="A70" s="106">
        <v>28</v>
      </c>
      <c r="B70" s="778"/>
      <c r="C70" s="781" t="s">
        <v>44</v>
      </c>
      <c r="D70" s="779"/>
      <c r="E70" s="108"/>
      <c r="F70" s="108"/>
      <c r="H70" t="s">
        <v>630</v>
      </c>
    </row>
    <row r="71" spans="1:8" x14ac:dyDescent="0.25">
      <c r="A71" s="103">
        <v>29</v>
      </c>
      <c r="B71" s="778"/>
      <c r="C71" s="781"/>
      <c r="D71" s="779"/>
      <c r="E71" s="108"/>
      <c r="F71" s="108"/>
    </row>
    <row r="72" spans="1:8" x14ac:dyDescent="0.25">
      <c r="A72" s="106">
        <v>30</v>
      </c>
      <c r="B72" s="778"/>
      <c r="C72" s="781"/>
      <c r="D72" s="781" t="s">
        <v>44</v>
      </c>
      <c r="E72" s="108"/>
      <c r="F72" s="108"/>
      <c r="H72" t="s">
        <v>631</v>
      </c>
    </row>
    <row r="73" spans="1:8" x14ac:dyDescent="0.25">
      <c r="A73" s="103">
        <v>31</v>
      </c>
      <c r="B73" s="778"/>
      <c r="C73" s="781"/>
      <c r="D73" s="781"/>
      <c r="E73" s="105" t="s">
        <v>45</v>
      </c>
      <c r="F73" s="108"/>
    </row>
    <row r="74" spans="1:8" ht="23.25" x14ac:dyDescent="0.25">
      <c r="A74" s="106">
        <v>32</v>
      </c>
      <c r="B74" s="778"/>
      <c r="C74" s="781"/>
      <c r="D74" s="781"/>
      <c r="E74" s="105" t="s">
        <v>300</v>
      </c>
      <c r="F74" s="108"/>
      <c r="H74" t="s">
        <v>632</v>
      </c>
    </row>
    <row r="75" spans="1:8" ht="23.25" x14ac:dyDescent="0.25">
      <c r="A75" s="103">
        <v>33</v>
      </c>
      <c r="B75" s="778"/>
      <c r="C75" s="778" t="s">
        <v>43</v>
      </c>
      <c r="D75" s="781"/>
      <c r="E75" s="104" t="s">
        <v>44</v>
      </c>
      <c r="F75" s="104" t="s">
        <v>44</v>
      </c>
    </row>
    <row r="76" spans="1:8" x14ac:dyDescent="0.25">
      <c r="A76" s="106">
        <v>34</v>
      </c>
      <c r="B76" s="782" t="s">
        <v>301</v>
      </c>
      <c r="C76" s="778"/>
      <c r="D76" s="781"/>
      <c r="E76" s="104" t="s">
        <v>298</v>
      </c>
      <c r="F76" s="104" t="s">
        <v>298</v>
      </c>
      <c r="H76" t="s">
        <v>633</v>
      </c>
    </row>
    <row r="77" spans="1:8" x14ac:dyDescent="0.25">
      <c r="A77" s="103">
        <v>35</v>
      </c>
      <c r="B77" s="782"/>
      <c r="C77" s="782" t="s">
        <v>301</v>
      </c>
      <c r="D77" s="778" t="s">
        <v>43</v>
      </c>
      <c r="E77" s="778" t="s">
        <v>43</v>
      </c>
      <c r="F77" s="107"/>
    </row>
    <row r="78" spans="1:8" ht="23.25" x14ac:dyDescent="0.25">
      <c r="A78" s="106">
        <v>36</v>
      </c>
      <c r="B78" s="782"/>
      <c r="C78" s="782"/>
      <c r="D78" s="778"/>
      <c r="E78" s="778"/>
      <c r="F78" s="109" t="s">
        <v>43</v>
      </c>
      <c r="H78" t="s">
        <v>634</v>
      </c>
    </row>
    <row r="79" spans="1:8" x14ac:dyDescent="0.25">
      <c r="A79" s="777" t="s">
        <v>627</v>
      </c>
      <c r="B79" s="777"/>
      <c r="C79" s="777"/>
      <c r="D79" s="777"/>
      <c r="E79" s="777"/>
      <c r="F79" s="777"/>
    </row>
    <row r="80" spans="1:8" x14ac:dyDescent="0.25">
      <c r="H80" t="s">
        <v>635</v>
      </c>
    </row>
    <row r="82" spans="1:23" x14ac:dyDescent="0.25">
      <c r="H82" s="2" t="s">
        <v>636</v>
      </c>
    </row>
    <row r="83" spans="1:23" x14ac:dyDescent="0.25">
      <c r="H83" s="2"/>
    </row>
    <row r="84" spans="1:23" x14ac:dyDescent="0.25">
      <c r="A84" t="s">
        <v>870</v>
      </c>
    </row>
    <row r="85" spans="1:23" x14ac:dyDescent="0.25">
      <c r="A85" t="s">
        <v>871</v>
      </c>
    </row>
    <row r="86" spans="1:23" x14ac:dyDescent="0.25">
      <c r="A86" s="100" t="s">
        <v>872</v>
      </c>
    </row>
    <row r="87" spans="1:23" x14ac:dyDescent="0.25">
      <c r="G87" s="100"/>
      <c r="H87" s="100"/>
      <c r="I87" s="100"/>
      <c r="J87" s="100"/>
      <c r="K87" s="100"/>
      <c r="L87" s="100"/>
      <c r="M87" s="100"/>
      <c r="N87" s="100"/>
      <c r="O87" s="100"/>
      <c r="P87" s="100"/>
      <c r="Q87" s="100"/>
      <c r="R87" s="100"/>
      <c r="S87" s="100"/>
      <c r="T87" s="100"/>
      <c r="U87" s="100"/>
      <c r="V87" s="100"/>
      <c r="W87" s="100"/>
    </row>
    <row r="88" spans="1:23" x14ac:dyDescent="0.25">
      <c r="G88" s="100"/>
      <c r="H88" s="100"/>
      <c r="I88" s="100"/>
      <c r="J88" s="100"/>
      <c r="K88" s="100"/>
      <c r="L88" s="100"/>
      <c r="M88" s="100"/>
      <c r="N88" s="100"/>
      <c r="O88" s="100"/>
      <c r="P88" s="100"/>
      <c r="Q88" s="100"/>
      <c r="R88" s="100"/>
      <c r="S88" s="100"/>
      <c r="T88" s="100"/>
      <c r="U88" s="100"/>
      <c r="V88" s="100"/>
      <c r="W88" s="100"/>
    </row>
    <row r="89" spans="1:23" x14ac:dyDescent="0.25">
      <c r="G89" s="100"/>
      <c r="H89" s="100"/>
      <c r="I89" s="100"/>
      <c r="J89" s="100"/>
      <c r="K89" s="100"/>
      <c r="L89" s="100"/>
      <c r="M89" s="100"/>
      <c r="N89" s="100"/>
      <c r="O89" s="100"/>
      <c r="P89" s="100"/>
      <c r="Q89" s="100"/>
      <c r="R89" s="100"/>
      <c r="S89" s="100"/>
      <c r="T89" s="100"/>
      <c r="U89" s="100"/>
      <c r="V89" s="100"/>
      <c r="W89" s="100"/>
    </row>
    <row r="90" spans="1:23" x14ac:dyDescent="0.25">
      <c r="G90" s="100"/>
      <c r="H90" s="100"/>
      <c r="I90" s="100"/>
      <c r="J90" s="100"/>
      <c r="K90" s="100"/>
      <c r="L90" s="100"/>
      <c r="M90" s="100"/>
      <c r="N90" s="100"/>
      <c r="O90" s="100"/>
      <c r="P90" s="100"/>
      <c r="Q90" s="100"/>
      <c r="R90" s="100"/>
      <c r="S90" s="100"/>
      <c r="T90" s="100"/>
      <c r="U90" s="100"/>
      <c r="V90" s="100"/>
      <c r="W90" s="100"/>
    </row>
    <row r="91" spans="1:23" x14ac:dyDescent="0.25">
      <c r="G91" s="100"/>
      <c r="H91" s="100"/>
      <c r="I91" s="100"/>
      <c r="J91" s="100"/>
      <c r="K91" s="100"/>
      <c r="L91" s="100"/>
      <c r="M91" s="100"/>
      <c r="N91" s="100"/>
      <c r="O91" s="100"/>
      <c r="P91" s="100"/>
      <c r="Q91" s="100"/>
      <c r="R91" s="100"/>
      <c r="S91" s="100"/>
      <c r="T91" s="100"/>
      <c r="U91" s="100"/>
      <c r="V91" s="100"/>
      <c r="W91" s="100"/>
    </row>
    <row r="92" spans="1:23" x14ac:dyDescent="0.25">
      <c r="G92" s="100"/>
      <c r="H92" s="100"/>
      <c r="I92" s="100"/>
      <c r="J92" s="100"/>
      <c r="K92" s="100"/>
      <c r="L92" s="100"/>
      <c r="M92" s="100"/>
      <c r="N92" s="100"/>
      <c r="O92" s="100"/>
      <c r="P92" s="100"/>
      <c r="Q92" s="100"/>
      <c r="R92" s="100"/>
      <c r="S92" s="100"/>
      <c r="T92" s="100"/>
      <c r="U92" s="100"/>
      <c r="V92" s="100"/>
      <c r="W92" s="100"/>
    </row>
    <row r="93" spans="1:23" x14ac:dyDescent="0.25">
      <c r="G93" s="100"/>
      <c r="H93" s="100"/>
      <c r="I93" s="100"/>
      <c r="J93" s="100"/>
      <c r="K93" s="100"/>
      <c r="L93" s="100"/>
      <c r="M93" s="100"/>
      <c r="N93" s="100"/>
      <c r="O93" s="100"/>
      <c r="P93" s="100"/>
      <c r="Q93" s="100"/>
      <c r="R93" s="100"/>
      <c r="S93" s="100"/>
      <c r="T93" s="100"/>
      <c r="U93" s="100"/>
      <c r="V93" s="100"/>
      <c r="W93" s="100"/>
    </row>
    <row r="94" spans="1:23" x14ac:dyDescent="0.25">
      <c r="G94" s="100"/>
      <c r="H94" s="100"/>
      <c r="I94" s="100"/>
      <c r="J94" s="100"/>
      <c r="K94" s="100"/>
      <c r="L94" s="100"/>
      <c r="M94" s="100"/>
      <c r="N94" s="100"/>
      <c r="O94" s="100"/>
      <c r="P94" s="100"/>
      <c r="Q94" s="100"/>
      <c r="R94" s="100"/>
      <c r="S94" s="100"/>
      <c r="T94" s="100"/>
      <c r="U94" s="100"/>
      <c r="V94" s="100"/>
      <c r="W94" s="100"/>
    </row>
    <row r="95" spans="1:23" x14ac:dyDescent="0.25">
      <c r="G95" s="100"/>
      <c r="H95" s="100"/>
      <c r="I95" s="100"/>
      <c r="J95" s="100"/>
      <c r="K95" s="100"/>
      <c r="L95" s="100"/>
      <c r="M95" s="100"/>
      <c r="N95" s="100"/>
      <c r="O95" s="100"/>
      <c r="P95" s="100"/>
      <c r="Q95" s="100"/>
      <c r="R95" s="100"/>
      <c r="S95" s="100"/>
      <c r="T95" s="100"/>
      <c r="U95" s="100"/>
      <c r="V95" s="100"/>
      <c r="W95" s="100"/>
    </row>
    <row r="96" spans="1:23" x14ac:dyDescent="0.25">
      <c r="G96" s="100"/>
      <c r="H96" s="100"/>
      <c r="I96" s="100"/>
      <c r="J96" s="100"/>
      <c r="K96" s="100"/>
      <c r="L96" s="100"/>
      <c r="M96" s="100"/>
      <c r="N96" s="100"/>
      <c r="O96" s="100"/>
      <c r="P96" s="100"/>
      <c r="Q96" s="100"/>
      <c r="R96" s="100"/>
      <c r="S96" s="100"/>
      <c r="T96" s="100"/>
      <c r="U96" s="100"/>
      <c r="V96" s="100"/>
      <c r="W96" s="100"/>
    </row>
    <row r="97" spans="7:23" x14ac:dyDescent="0.25">
      <c r="G97" s="100"/>
      <c r="H97" s="100"/>
      <c r="I97" s="100"/>
      <c r="J97" s="100"/>
      <c r="K97" s="100"/>
      <c r="L97" s="100"/>
      <c r="M97" s="100"/>
      <c r="N97" s="100"/>
      <c r="O97" s="100"/>
      <c r="P97" s="100"/>
      <c r="Q97" s="100"/>
      <c r="R97" s="100"/>
      <c r="S97" s="100"/>
      <c r="T97" s="100"/>
      <c r="U97" s="100"/>
      <c r="V97" s="100"/>
      <c r="W97" s="100"/>
    </row>
    <row r="98" spans="7:23" x14ac:dyDescent="0.25">
      <c r="G98" s="100"/>
      <c r="H98" s="100"/>
      <c r="I98" s="100"/>
      <c r="J98" s="100"/>
      <c r="K98" s="100"/>
      <c r="L98" s="100"/>
      <c r="M98" s="100"/>
      <c r="N98" s="100"/>
      <c r="O98" s="100"/>
      <c r="P98" s="100"/>
      <c r="Q98" s="100"/>
      <c r="R98" s="100"/>
      <c r="S98" s="100"/>
      <c r="T98" s="100"/>
      <c r="U98" s="100"/>
      <c r="V98" s="100"/>
      <c r="W98" s="100"/>
    </row>
    <row r="99" spans="7:23" x14ac:dyDescent="0.25">
      <c r="G99" s="100"/>
      <c r="H99" s="100"/>
      <c r="I99" s="100"/>
      <c r="J99" s="100"/>
      <c r="K99" s="100"/>
      <c r="L99" s="100"/>
      <c r="M99" s="100"/>
      <c r="N99" s="100"/>
      <c r="O99" s="100"/>
      <c r="P99" s="100"/>
      <c r="Q99" s="100"/>
      <c r="R99" s="100"/>
      <c r="S99" s="100"/>
      <c r="T99" s="100"/>
      <c r="U99" s="100"/>
      <c r="V99" s="100"/>
      <c r="W99" s="100"/>
    </row>
    <row r="100" spans="7:23" x14ac:dyDescent="0.25">
      <c r="G100" s="100"/>
      <c r="H100" s="100"/>
      <c r="I100" s="100"/>
      <c r="J100" s="100"/>
      <c r="K100" s="100"/>
      <c r="L100" s="100"/>
      <c r="M100" s="100"/>
      <c r="N100" s="100"/>
      <c r="O100" s="100"/>
      <c r="P100" s="100"/>
      <c r="Q100" s="100"/>
      <c r="R100" s="100"/>
      <c r="S100" s="100"/>
      <c r="T100" s="100"/>
      <c r="U100" s="100"/>
      <c r="V100" s="100"/>
      <c r="W100" s="100"/>
    </row>
    <row r="101" spans="7:23" x14ac:dyDescent="0.25">
      <c r="G101" s="100"/>
      <c r="H101" s="100"/>
      <c r="I101" s="100"/>
      <c r="J101" s="100"/>
      <c r="K101" s="100"/>
      <c r="L101" s="100"/>
      <c r="M101" s="100"/>
      <c r="N101" s="100"/>
      <c r="O101" s="100"/>
      <c r="P101" s="100"/>
      <c r="Q101" s="100"/>
      <c r="R101" s="100"/>
      <c r="S101" s="100"/>
      <c r="T101" s="100"/>
      <c r="U101" s="100"/>
      <c r="V101" s="100"/>
      <c r="W101" s="100"/>
    </row>
    <row r="102" spans="7:23" x14ac:dyDescent="0.25">
      <c r="G102" s="100"/>
      <c r="H102" s="100"/>
      <c r="I102" s="100"/>
      <c r="J102" s="100"/>
      <c r="K102" s="100"/>
      <c r="L102" s="100"/>
      <c r="M102" s="100"/>
      <c r="N102" s="100"/>
      <c r="O102" s="100"/>
      <c r="P102" s="100"/>
      <c r="Q102" s="100"/>
      <c r="R102" s="100"/>
      <c r="S102" s="100"/>
      <c r="T102" s="100"/>
      <c r="U102" s="100"/>
      <c r="V102" s="100"/>
      <c r="W102" s="100"/>
    </row>
    <row r="103" spans="7:23" x14ac:dyDescent="0.25">
      <c r="G103" s="100"/>
      <c r="H103" s="100"/>
      <c r="I103" s="100"/>
      <c r="J103" s="100"/>
      <c r="K103" s="100"/>
      <c r="L103" s="100"/>
      <c r="M103" s="100"/>
      <c r="N103" s="100"/>
      <c r="O103" s="100"/>
      <c r="P103" s="100"/>
      <c r="Q103" s="100"/>
      <c r="R103" s="100"/>
      <c r="S103" s="100"/>
      <c r="T103" s="100"/>
      <c r="U103" s="100"/>
      <c r="V103" s="100"/>
      <c r="W103" s="100"/>
    </row>
    <row r="104" spans="7:23" x14ac:dyDescent="0.25">
      <c r="G104" s="100"/>
      <c r="H104" s="100"/>
      <c r="I104" s="100"/>
      <c r="J104" s="100"/>
      <c r="K104" s="100"/>
      <c r="L104" s="100"/>
      <c r="M104" s="100"/>
      <c r="N104" s="100"/>
      <c r="O104" s="100"/>
      <c r="P104" s="100"/>
      <c r="Q104" s="100"/>
      <c r="R104" s="100"/>
      <c r="S104" s="100"/>
      <c r="T104" s="100"/>
      <c r="U104" s="100"/>
      <c r="V104" s="100"/>
      <c r="W104" s="100"/>
    </row>
    <row r="105" spans="7:23" x14ac:dyDescent="0.25">
      <c r="G105" s="100"/>
      <c r="H105" s="100"/>
      <c r="I105" s="100"/>
      <c r="J105" s="100"/>
      <c r="K105" s="100"/>
      <c r="L105" s="100"/>
      <c r="M105" s="100"/>
      <c r="N105" s="100"/>
      <c r="O105" s="100"/>
      <c r="P105" s="100"/>
      <c r="Q105" s="100"/>
      <c r="R105" s="100"/>
      <c r="S105" s="100"/>
      <c r="T105" s="100"/>
      <c r="U105" s="100"/>
      <c r="V105" s="100"/>
      <c r="W105" s="100"/>
    </row>
    <row r="106" spans="7:23" x14ac:dyDescent="0.25">
      <c r="G106" s="100"/>
      <c r="H106" s="100"/>
      <c r="I106" s="100"/>
      <c r="J106" s="100"/>
      <c r="K106" s="100"/>
      <c r="L106" s="100"/>
      <c r="M106" s="100"/>
      <c r="N106" s="100"/>
      <c r="O106" s="100"/>
      <c r="P106" s="100"/>
      <c r="Q106" s="100"/>
      <c r="R106" s="100"/>
      <c r="S106" s="100"/>
      <c r="T106" s="100"/>
      <c r="U106" s="100"/>
      <c r="V106" s="100"/>
      <c r="W106" s="100"/>
    </row>
    <row r="107" spans="7:23" x14ac:dyDescent="0.25">
      <c r="G107" s="100"/>
      <c r="H107" s="100"/>
      <c r="I107" s="100"/>
      <c r="J107" s="100"/>
      <c r="K107" s="100"/>
      <c r="L107" s="100"/>
      <c r="M107" s="100"/>
      <c r="N107" s="100"/>
      <c r="O107" s="100"/>
      <c r="P107" s="100"/>
      <c r="Q107" s="100"/>
      <c r="R107" s="100"/>
      <c r="S107" s="100"/>
      <c r="T107" s="100"/>
      <c r="U107" s="100"/>
      <c r="V107" s="100"/>
      <c r="W107" s="100"/>
    </row>
    <row r="108" spans="7:23" x14ac:dyDescent="0.25">
      <c r="G108" s="100"/>
      <c r="H108" s="100"/>
      <c r="I108" s="100"/>
      <c r="J108" s="100"/>
      <c r="K108" s="100"/>
      <c r="L108" s="100"/>
      <c r="M108" s="100"/>
      <c r="N108" s="100"/>
      <c r="O108" s="100"/>
      <c r="P108" s="100"/>
      <c r="Q108" s="100"/>
      <c r="R108" s="100"/>
      <c r="S108" s="100"/>
      <c r="T108" s="100"/>
      <c r="U108" s="100"/>
      <c r="V108" s="100"/>
      <c r="W108" s="100"/>
    </row>
    <row r="109" spans="7:23" x14ac:dyDescent="0.25">
      <c r="G109" s="100"/>
      <c r="H109" s="100"/>
      <c r="I109" s="100"/>
      <c r="J109" s="100"/>
      <c r="K109" s="100"/>
      <c r="L109" s="100"/>
      <c r="M109" s="100"/>
      <c r="N109" s="100"/>
      <c r="O109" s="100"/>
      <c r="P109" s="100"/>
      <c r="Q109" s="100"/>
      <c r="R109" s="100"/>
      <c r="S109" s="100"/>
      <c r="T109" s="100"/>
      <c r="U109" s="100"/>
      <c r="V109" s="100"/>
      <c r="W109" s="100"/>
    </row>
    <row r="110" spans="7:23" x14ac:dyDescent="0.25">
      <c r="G110" s="100"/>
      <c r="H110" s="100"/>
      <c r="I110" s="100"/>
      <c r="J110" s="100"/>
      <c r="K110" s="100"/>
      <c r="L110" s="100"/>
      <c r="M110" s="100"/>
      <c r="N110" s="100"/>
      <c r="O110" s="100"/>
      <c r="P110" s="100"/>
      <c r="Q110" s="100"/>
      <c r="R110" s="100"/>
      <c r="S110" s="100"/>
      <c r="T110" s="100"/>
      <c r="U110" s="100"/>
      <c r="V110" s="100"/>
      <c r="W110" s="100"/>
    </row>
    <row r="111" spans="7:23" x14ac:dyDescent="0.25">
      <c r="G111" s="100"/>
      <c r="H111" s="100"/>
      <c r="I111" s="100"/>
      <c r="J111" s="100"/>
      <c r="K111" s="100"/>
      <c r="L111" s="100"/>
      <c r="M111" s="100"/>
      <c r="N111" s="100"/>
      <c r="O111" s="100"/>
      <c r="P111" s="100"/>
      <c r="Q111" s="100"/>
      <c r="R111" s="100"/>
      <c r="S111" s="100"/>
      <c r="T111" s="100"/>
      <c r="U111" s="100"/>
      <c r="V111" s="100"/>
      <c r="W111" s="100"/>
    </row>
    <row r="112" spans="7:23" x14ac:dyDescent="0.25">
      <c r="G112" s="100"/>
      <c r="H112" s="100"/>
      <c r="I112" s="100"/>
      <c r="J112" s="100"/>
      <c r="K112" s="100"/>
      <c r="L112" s="100"/>
      <c r="M112" s="100"/>
      <c r="N112" s="100"/>
      <c r="O112" s="100"/>
      <c r="P112" s="100"/>
      <c r="Q112" s="100"/>
      <c r="R112" s="100"/>
      <c r="S112" s="100"/>
      <c r="T112" s="100"/>
      <c r="U112" s="100"/>
      <c r="V112" s="100"/>
      <c r="W112" s="100"/>
    </row>
    <row r="113" spans="7:23" x14ac:dyDescent="0.25">
      <c r="G113" s="100"/>
      <c r="H113" s="100"/>
      <c r="I113" s="100"/>
      <c r="J113" s="100"/>
      <c r="K113" s="100"/>
      <c r="L113" s="100"/>
      <c r="M113" s="100"/>
      <c r="N113" s="100"/>
      <c r="O113" s="100"/>
      <c r="P113" s="100"/>
      <c r="Q113" s="100"/>
      <c r="R113" s="100"/>
      <c r="S113" s="100"/>
      <c r="T113" s="100"/>
      <c r="U113" s="100"/>
      <c r="V113" s="100"/>
      <c r="W113" s="100"/>
    </row>
    <row r="114" spans="7:23" x14ac:dyDescent="0.25">
      <c r="G114" s="100"/>
      <c r="H114" s="100"/>
      <c r="I114" s="100"/>
      <c r="J114" s="100"/>
      <c r="K114" s="100"/>
      <c r="L114" s="100"/>
      <c r="M114" s="100"/>
      <c r="N114" s="100"/>
      <c r="O114" s="100"/>
      <c r="P114" s="100"/>
      <c r="Q114" s="100"/>
      <c r="R114" s="100"/>
      <c r="S114" s="100"/>
      <c r="T114" s="100"/>
      <c r="U114" s="100"/>
      <c r="V114" s="100"/>
      <c r="W114" s="100"/>
    </row>
    <row r="115" spans="7:23" x14ac:dyDescent="0.25">
      <c r="G115" s="100"/>
      <c r="H115" s="100"/>
      <c r="I115" s="100"/>
      <c r="J115" s="100"/>
      <c r="K115" s="100"/>
      <c r="L115" s="100"/>
      <c r="M115" s="100"/>
      <c r="N115" s="100"/>
      <c r="O115" s="100"/>
      <c r="P115" s="100"/>
      <c r="Q115" s="100"/>
      <c r="R115" s="100"/>
      <c r="S115" s="100"/>
      <c r="T115" s="100"/>
      <c r="U115" s="100"/>
      <c r="V115" s="100"/>
      <c r="W115" s="100"/>
    </row>
    <row r="116" spans="7:23" x14ac:dyDescent="0.25">
      <c r="G116" s="100"/>
      <c r="H116" s="100"/>
      <c r="I116" s="100"/>
      <c r="J116" s="100"/>
      <c r="K116" s="100"/>
      <c r="L116" s="100"/>
      <c r="M116" s="100"/>
      <c r="N116" s="100"/>
      <c r="O116" s="100"/>
      <c r="P116" s="100"/>
      <c r="Q116" s="100"/>
      <c r="R116" s="100"/>
      <c r="S116" s="100"/>
      <c r="T116" s="100"/>
      <c r="U116" s="100"/>
      <c r="V116" s="100"/>
      <c r="W116" s="100"/>
    </row>
    <row r="117" spans="7:23" x14ac:dyDescent="0.25">
      <c r="G117" s="100"/>
      <c r="H117" s="100"/>
      <c r="I117" s="100"/>
      <c r="J117" s="100"/>
      <c r="K117" s="100"/>
      <c r="L117" s="100"/>
      <c r="M117" s="100"/>
      <c r="N117" s="100"/>
      <c r="O117" s="100"/>
      <c r="P117" s="100"/>
      <c r="Q117" s="100"/>
      <c r="R117" s="100"/>
      <c r="S117" s="100"/>
      <c r="T117" s="100"/>
      <c r="U117" s="100"/>
      <c r="V117" s="100"/>
      <c r="W117" s="100"/>
    </row>
    <row r="118" spans="7:23" x14ac:dyDescent="0.25">
      <c r="G118" s="100"/>
      <c r="H118" s="100"/>
      <c r="I118" s="100"/>
      <c r="J118" s="100"/>
      <c r="K118" s="100"/>
      <c r="L118" s="100"/>
      <c r="M118" s="100"/>
      <c r="N118" s="100"/>
      <c r="O118" s="100"/>
      <c r="P118" s="100"/>
      <c r="Q118" s="100"/>
      <c r="R118" s="100"/>
      <c r="S118" s="100"/>
      <c r="T118" s="100"/>
      <c r="U118" s="100"/>
      <c r="V118" s="100"/>
      <c r="W118" s="100"/>
    </row>
    <row r="119" spans="7:23" x14ac:dyDescent="0.25">
      <c r="G119" s="100"/>
      <c r="H119" s="100"/>
      <c r="I119" s="100"/>
      <c r="J119" s="100"/>
      <c r="K119" s="100"/>
      <c r="L119" s="100"/>
      <c r="M119" s="100"/>
      <c r="N119" s="100"/>
      <c r="O119" s="100"/>
      <c r="P119" s="100"/>
      <c r="Q119" s="100"/>
      <c r="R119" s="100"/>
      <c r="S119" s="100"/>
      <c r="T119" s="100"/>
      <c r="U119" s="100"/>
      <c r="V119" s="100"/>
      <c r="W119" s="100"/>
    </row>
    <row r="120" spans="7:23" x14ac:dyDescent="0.25">
      <c r="G120" s="100"/>
      <c r="H120" s="100"/>
      <c r="I120" s="100"/>
      <c r="J120" s="100"/>
      <c r="K120" s="100"/>
      <c r="L120" s="100"/>
      <c r="M120" s="100"/>
      <c r="N120" s="100"/>
      <c r="O120" s="100"/>
      <c r="P120" s="100"/>
      <c r="Q120" s="100"/>
      <c r="R120" s="100"/>
      <c r="S120" s="100"/>
      <c r="T120" s="100"/>
      <c r="U120" s="100"/>
      <c r="V120" s="100"/>
      <c r="W120" s="100"/>
    </row>
    <row r="121" spans="7:23" x14ac:dyDescent="0.25">
      <c r="G121" s="100"/>
      <c r="H121" s="100"/>
      <c r="I121" s="100"/>
      <c r="J121" s="100"/>
      <c r="K121" s="100"/>
      <c r="L121" s="100"/>
      <c r="M121" s="100"/>
      <c r="N121" s="100"/>
      <c r="O121" s="100"/>
      <c r="P121" s="100"/>
      <c r="Q121" s="100"/>
      <c r="R121" s="100"/>
      <c r="S121" s="100"/>
      <c r="T121" s="100"/>
      <c r="U121" s="100"/>
      <c r="V121" s="100"/>
      <c r="W121" s="100"/>
    </row>
    <row r="122" spans="7:23" x14ac:dyDescent="0.25">
      <c r="G122" s="100"/>
      <c r="H122" s="100"/>
      <c r="I122" s="100"/>
      <c r="J122" s="100"/>
      <c r="K122" s="100"/>
      <c r="L122" s="100"/>
      <c r="M122" s="100"/>
      <c r="N122" s="100"/>
      <c r="O122" s="100"/>
      <c r="P122" s="100"/>
      <c r="Q122" s="100"/>
      <c r="R122" s="100"/>
      <c r="S122" s="100"/>
      <c r="T122" s="100"/>
      <c r="U122" s="100"/>
      <c r="V122" s="100"/>
      <c r="W122" s="100"/>
    </row>
    <row r="123" spans="7:23" x14ac:dyDescent="0.25">
      <c r="G123" s="100"/>
      <c r="H123" s="100"/>
      <c r="I123" s="100"/>
      <c r="J123" s="100"/>
      <c r="K123" s="100"/>
      <c r="L123" s="100"/>
      <c r="M123" s="100"/>
      <c r="N123" s="100"/>
      <c r="O123" s="100"/>
      <c r="P123" s="100"/>
      <c r="Q123" s="100"/>
      <c r="R123" s="100"/>
      <c r="S123" s="100"/>
      <c r="T123" s="100"/>
      <c r="U123" s="100"/>
      <c r="V123" s="100"/>
      <c r="W123" s="100"/>
    </row>
    <row r="124" spans="7:23" x14ac:dyDescent="0.25">
      <c r="G124" s="100"/>
      <c r="H124" s="100"/>
      <c r="I124" s="100"/>
      <c r="J124" s="100"/>
      <c r="K124" s="100"/>
      <c r="L124" s="100"/>
      <c r="M124" s="100"/>
      <c r="N124" s="100"/>
      <c r="O124" s="100"/>
      <c r="P124" s="100"/>
      <c r="Q124" s="100"/>
      <c r="R124" s="100"/>
      <c r="S124" s="100"/>
      <c r="T124" s="100"/>
      <c r="U124" s="100"/>
      <c r="V124" s="100"/>
      <c r="W124" s="100"/>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B3:W48">
    <cfRule type="cellIs" dxfId="3" priority="9" operator="between">
      <formula>0</formula>
      <formula>6</formula>
    </cfRule>
    <cfRule type="cellIs" dxfId="2" priority="10" operator="between">
      <formula>6</formula>
      <formula>7</formula>
    </cfRule>
    <cfRule type="cellIs" dxfId="1" priority="11" operator="between">
      <formula>7</formula>
      <formula>8</formula>
    </cfRule>
    <cfRule type="cellIs" dxfId="0" priority="12" operator="greaterThan">
      <formula>8</formula>
    </cfRule>
  </conditionalFormatting>
  <conditionalFormatting sqref="AW5:BP45">
    <cfRule type="colorScale" priority="8">
      <colorScale>
        <cfvo type="min"/>
        <cfvo type="percentile" val="50"/>
        <cfvo type="max"/>
        <color rgb="FFF8696B"/>
        <color rgb="FFFFEB84"/>
        <color rgb="FF63BE7B"/>
      </colorScale>
    </cfRule>
  </conditionalFormatting>
  <conditionalFormatting sqref="Z18:AS18">
    <cfRule type="colorScale" priority="7">
      <colorScale>
        <cfvo type="min"/>
        <cfvo type="percentile" val="50"/>
        <cfvo type="max"/>
        <color rgb="FFF8696B"/>
        <color rgb="FFFFEB84"/>
        <color rgb="FF63BE7B"/>
      </colorScale>
    </cfRule>
  </conditionalFormatting>
  <conditionalFormatting sqref="Z15:AS15">
    <cfRule type="colorScale" priority="6">
      <colorScale>
        <cfvo type="min"/>
        <cfvo type="percentile" val="50"/>
        <cfvo type="max"/>
        <color rgb="FFF8696B"/>
        <color rgb="FFFFEB84"/>
        <color rgb="FF63BE7B"/>
      </colorScale>
    </cfRule>
  </conditionalFormatting>
  <conditionalFormatting sqref="Z10:AS10">
    <cfRule type="colorScale" priority="5">
      <colorScale>
        <cfvo type="min"/>
        <cfvo type="percentile" val="50"/>
        <cfvo type="max"/>
        <color rgb="FFF8696B"/>
        <color rgb="FFFFEB84"/>
        <color rgb="FF63BE7B"/>
      </colorScale>
    </cfRule>
  </conditionalFormatting>
  <conditionalFormatting sqref="Z6:AS6">
    <cfRule type="colorScale" priority="4">
      <colorScale>
        <cfvo type="min"/>
        <cfvo type="percentile" val="50"/>
        <cfvo type="max"/>
        <color rgb="FFF8696B"/>
        <color rgb="FFFFEB84"/>
        <color rgb="FF63BE7B"/>
      </colorScale>
    </cfRule>
  </conditionalFormatting>
  <conditionalFormatting sqref="Z24:AS24">
    <cfRule type="colorScale" priority="3">
      <colorScale>
        <cfvo type="min"/>
        <cfvo type="percentile" val="50"/>
        <cfvo type="max"/>
        <color rgb="FFF8696B"/>
        <color rgb="FFFFEB84"/>
        <color rgb="FF63BE7B"/>
      </colorScale>
    </cfRule>
  </conditionalFormatting>
  <conditionalFormatting sqref="Z13:AS13">
    <cfRule type="colorScale" priority="2">
      <colorScale>
        <cfvo type="min"/>
        <cfvo type="percentile" val="50"/>
        <cfvo type="max"/>
        <color rgb="FFF8696B"/>
        <color rgb="FFFFEB84"/>
        <color rgb="FF63BE7B"/>
      </colorScale>
    </cfRule>
  </conditionalFormatting>
  <conditionalFormatting sqref="Z21:AS2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270"/>
  <sheetViews>
    <sheetView workbookViewId="0">
      <selection activeCell="C14" sqref="C14"/>
    </sheetView>
  </sheetViews>
  <sheetFormatPr baseColWidth="10" defaultColWidth="11.42578125" defaultRowHeight="15" x14ac:dyDescent="0.25"/>
  <cols>
    <col min="7" max="7" width="68.28515625" customWidth="1"/>
  </cols>
  <sheetData>
    <row r="1" spans="1:7" x14ac:dyDescent="0.25">
      <c r="A1" t="s">
        <v>60</v>
      </c>
      <c r="F1" s="48" t="s">
        <v>1379</v>
      </c>
      <c r="G1" s="48"/>
    </row>
    <row r="2" spans="1:7" ht="15.75" thickBot="1" x14ac:dyDescent="0.3">
      <c r="A2" t="s">
        <v>61</v>
      </c>
      <c r="G2" s="32" t="s">
        <v>1373</v>
      </c>
    </row>
    <row r="3" spans="1:7" ht="15.75" thickBot="1" x14ac:dyDescent="0.3">
      <c r="G3" s="363"/>
    </row>
    <row r="4" spans="1:7" ht="54" x14ac:dyDescent="0.25">
      <c r="A4" s="39" t="s">
        <v>62</v>
      </c>
      <c r="G4" s="365" t="s">
        <v>1374</v>
      </c>
    </row>
    <row r="5" spans="1:7" x14ac:dyDescent="0.25">
      <c r="A5" s="39" t="s">
        <v>63</v>
      </c>
      <c r="G5" s="364"/>
    </row>
    <row r="6" spans="1:7" ht="22.5" x14ac:dyDescent="0.25">
      <c r="A6" s="39" t="s">
        <v>64</v>
      </c>
      <c r="G6" s="365" t="s">
        <v>1375</v>
      </c>
    </row>
    <row r="7" spans="1:7" x14ac:dyDescent="0.25">
      <c r="A7" s="39" t="s">
        <v>65</v>
      </c>
      <c r="G7" s="365" t="s">
        <v>1376</v>
      </c>
    </row>
    <row r="8" spans="1:7" ht="22.5" x14ac:dyDescent="0.25">
      <c r="A8" s="39" t="s">
        <v>66</v>
      </c>
      <c r="G8" s="365" t="s">
        <v>1377</v>
      </c>
    </row>
    <row r="9" spans="1:7" x14ac:dyDescent="0.25">
      <c r="A9" s="39" t="s">
        <v>67</v>
      </c>
      <c r="E9" s="2" t="s">
        <v>1540</v>
      </c>
      <c r="F9" s="2"/>
      <c r="G9" s="365" t="s">
        <v>1378</v>
      </c>
    </row>
    <row r="10" spans="1:7" x14ac:dyDescent="0.25">
      <c r="A10" s="39" t="s">
        <v>68</v>
      </c>
      <c r="E10" s="2" t="s">
        <v>1539</v>
      </c>
      <c r="F10" s="2"/>
    </row>
    <row r="11" spans="1:7" x14ac:dyDescent="0.25">
      <c r="A11" s="39" t="s">
        <v>69</v>
      </c>
      <c r="E11" s="17" t="s">
        <v>57</v>
      </c>
      <c r="F11" s="17" t="s">
        <v>52</v>
      </c>
    </row>
    <row r="12" spans="1:7" x14ac:dyDescent="0.25">
      <c r="A12" s="39" t="s">
        <v>70</v>
      </c>
      <c r="E12" s="11">
        <v>0</v>
      </c>
      <c r="F12" s="51">
        <f>(E12/7)^0.5</f>
        <v>0</v>
      </c>
    </row>
    <row r="13" spans="1:7" x14ac:dyDescent="0.25">
      <c r="A13" s="39" t="s">
        <v>71</v>
      </c>
      <c r="E13" s="11">
        <v>0.5</v>
      </c>
      <c r="F13" s="51">
        <f>(E13/7)^0.5</f>
        <v>0.2672612419124244</v>
      </c>
    </row>
    <row r="14" spans="1:7" x14ac:dyDescent="0.25">
      <c r="A14" s="39" t="s">
        <v>72</v>
      </c>
      <c r="E14" s="11">
        <v>1</v>
      </c>
      <c r="F14" s="51">
        <f>(E14/7)^0.5</f>
        <v>0.3779644730092272</v>
      </c>
    </row>
    <row r="15" spans="1:7" x14ac:dyDescent="0.25">
      <c r="A15" s="39" t="s">
        <v>73</v>
      </c>
      <c r="E15" s="11">
        <v>1.5</v>
      </c>
      <c r="F15" s="51">
        <f t="shared" ref="F15:F20" si="0">(E15/7)^0.5</f>
        <v>0.46291004988627571</v>
      </c>
    </row>
    <row r="16" spans="1:7" x14ac:dyDescent="0.25">
      <c r="A16" s="39" t="s">
        <v>74</v>
      </c>
      <c r="E16" s="11">
        <v>2</v>
      </c>
      <c r="F16" s="51">
        <f t="shared" si="0"/>
        <v>0.53452248382484879</v>
      </c>
    </row>
    <row r="17" spans="1:6" x14ac:dyDescent="0.25">
      <c r="A17" s="39" t="s">
        <v>75</v>
      </c>
      <c r="E17" s="11">
        <v>2.5</v>
      </c>
      <c r="F17" s="51">
        <f t="shared" si="0"/>
        <v>0.59761430466719678</v>
      </c>
    </row>
    <row r="18" spans="1:6" x14ac:dyDescent="0.25">
      <c r="A18" s="39" t="s">
        <v>76</v>
      </c>
      <c r="E18" s="11">
        <v>3</v>
      </c>
      <c r="F18" s="51">
        <f t="shared" si="0"/>
        <v>0.65465367070797709</v>
      </c>
    </row>
    <row r="19" spans="1:6" x14ac:dyDescent="0.25">
      <c r="A19" s="39" t="s">
        <v>77</v>
      </c>
      <c r="E19" s="11">
        <v>3.5</v>
      </c>
      <c r="F19" s="51">
        <f t="shared" si="0"/>
        <v>0.70710678118654757</v>
      </c>
    </row>
    <row r="20" spans="1:6" x14ac:dyDescent="0.25">
      <c r="A20" s="39" t="s">
        <v>78</v>
      </c>
      <c r="E20" s="11">
        <v>4</v>
      </c>
      <c r="F20" s="51">
        <f t="shared" si="0"/>
        <v>0.7559289460184544</v>
      </c>
    </row>
    <row r="21" spans="1:6" x14ac:dyDescent="0.25">
      <c r="A21" s="39" t="s">
        <v>79</v>
      </c>
      <c r="E21" s="11">
        <v>4.5</v>
      </c>
      <c r="F21" s="51">
        <f t="shared" ref="F21:F26" si="1">(E21/7)^0.5</f>
        <v>0.80178372573727319</v>
      </c>
    </row>
    <row r="22" spans="1:6" x14ac:dyDescent="0.25">
      <c r="A22" s="39" t="s">
        <v>80</v>
      </c>
      <c r="E22" s="11">
        <v>5</v>
      </c>
      <c r="F22" s="51">
        <f t="shared" si="1"/>
        <v>0.84515425472851657</v>
      </c>
    </row>
    <row r="23" spans="1:6" x14ac:dyDescent="0.25">
      <c r="A23" s="39" t="s">
        <v>81</v>
      </c>
      <c r="E23" s="11">
        <v>5.5</v>
      </c>
      <c r="F23" s="51">
        <f t="shared" si="1"/>
        <v>0.88640526042791834</v>
      </c>
    </row>
    <row r="24" spans="1:6" x14ac:dyDescent="0.25">
      <c r="A24" s="39" t="s">
        <v>82</v>
      </c>
      <c r="E24" s="11">
        <v>6</v>
      </c>
      <c r="F24" s="51">
        <f t="shared" si="1"/>
        <v>0.92582009977255142</v>
      </c>
    </row>
    <row r="25" spans="1:6" x14ac:dyDescent="0.25">
      <c r="A25" s="39" t="s">
        <v>83</v>
      </c>
      <c r="E25" s="11">
        <v>6.5</v>
      </c>
      <c r="F25" s="51">
        <f t="shared" si="1"/>
        <v>0.96362411165943151</v>
      </c>
    </row>
    <row r="26" spans="1:6" x14ac:dyDescent="0.25">
      <c r="E26" s="11">
        <v>7</v>
      </c>
      <c r="F26" s="51">
        <f t="shared" si="1"/>
        <v>1</v>
      </c>
    </row>
    <row r="28" spans="1:6" x14ac:dyDescent="0.25">
      <c r="A28" t="s">
        <v>84</v>
      </c>
    </row>
    <row r="29" spans="1:6" x14ac:dyDescent="0.25">
      <c r="A29" t="s">
        <v>57</v>
      </c>
    </row>
    <row r="30" spans="1:6" x14ac:dyDescent="0.25">
      <c r="A30" t="s">
        <v>85</v>
      </c>
    </row>
    <row r="32" spans="1:6" x14ac:dyDescent="0.25">
      <c r="A32" s="39" t="s">
        <v>86</v>
      </c>
    </row>
    <row r="33" spans="1:5" x14ac:dyDescent="0.25">
      <c r="A33" s="39" t="s">
        <v>87</v>
      </c>
    </row>
    <row r="34" spans="1:5" x14ac:dyDescent="0.25">
      <c r="A34" s="39" t="s">
        <v>88</v>
      </c>
    </row>
    <row r="35" spans="1:5" x14ac:dyDescent="0.25">
      <c r="A35" s="39" t="s">
        <v>89</v>
      </c>
    </row>
    <row r="36" spans="1:5" x14ac:dyDescent="0.25">
      <c r="A36" s="39" t="s">
        <v>90</v>
      </c>
    </row>
    <row r="37" spans="1:5" x14ac:dyDescent="0.25">
      <c r="A37" s="39" t="s">
        <v>91</v>
      </c>
    </row>
    <row r="38" spans="1:5" x14ac:dyDescent="0.25">
      <c r="A38" s="39" t="s">
        <v>92</v>
      </c>
    </row>
    <row r="39" spans="1:5" x14ac:dyDescent="0.25">
      <c r="A39" s="39" t="s">
        <v>93</v>
      </c>
    </row>
    <row r="40" spans="1:5" x14ac:dyDescent="0.25">
      <c r="A40" s="39" t="s">
        <v>94</v>
      </c>
      <c r="E40" s="293"/>
    </row>
    <row r="41" spans="1:5" x14ac:dyDescent="0.25">
      <c r="A41" s="39" t="s">
        <v>95</v>
      </c>
      <c r="E41" s="293"/>
    </row>
    <row r="42" spans="1:5" x14ac:dyDescent="0.25">
      <c r="E42" s="293"/>
    </row>
    <row r="44" spans="1:5" x14ac:dyDescent="0.25">
      <c r="A44" t="s">
        <v>96</v>
      </c>
    </row>
    <row r="45" spans="1:5" x14ac:dyDescent="0.25">
      <c r="A45" t="s">
        <v>97</v>
      </c>
    </row>
    <row r="47" spans="1:5" x14ac:dyDescent="0.25">
      <c r="A47" s="39" t="s">
        <v>86</v>
      </c>
    </row>
    <row r="48" spans="1:5" x14ac:dyDescent="0.25">
      <c r="A48" s="39" t="s">
        <v>87</v>
      </c>
    </row>
    <row r="49" spans="1:1" x14ac:dyDescent="0.25">
      <c r="A49" s="39" t="s">
        <v>88</v>
      </c>
    </row>
    <row r="50" spans="1:1" x14ac:dyDescent="0.25">
      <c r="A50" s="39" t="s">
        <v>89</v>
      </c>
    </row>
    <row r="51" spans="1:1" x14ac:dyDescent="0.25">
      <c r="A51" s="39" t="s">
        <v>90</v>
      </c>
    </row>
    <row r="52" spans="1:1" x14ac:dyDescent="0.25">
      <c r="A52" s="39" t="s">
        <v>91</v>
      </c>
    </row>
    <row r="53" spans="1:1" x14ac:dyDescent="0.25">
      <c r="A53" s="39" t="s">
        <v>92</v>
      </c>
    </row>
    <row r="54" spans="1:1" x14ac:dyDescent="0.25">
      <c r="A54" s="39" t="s">
        <v>93</v>
      </c>
    </row>
    <row r="55" spans="1:1" x14ac:dyDescent="0.25">
      <c r="A55" s="39" t="s">
        <v>94</v>
      </c>
    </row>
    <row r="56" spans="1:1" x14ac:dyDescent="0.25">
      <c r="A56" s="39" t="s">
        <v>95</v>
      </c>
    </row>
    <row r="59" spans="1:1" x14ac:dyDescent="0.25">
      <c r="A59" t="s">
        <v>98</v>
      </c>
    </row>
    <row r="61" spans="1:1" x14ac:dyDescent="0.25">
      <c r="A61" s="39" t="s">
        <v>99</v>
      </c>
    </row>
    <row r="62" spans="1:1" x14ac:dyDescent="0.25">
      <c r="A62" s="39" t="s">
        <v>100</v>
      </c>
    </row>
    <row r="63" spans="1:1" x14ac:dyDescent="0.25">
      <c r="A63" s="39" t="s">
        <v>101</v>
      </c>
    </row>
    <row r="64" spans="1:1" x14ac:dyDescent="0.25">
      <c r="A64" s="39" t="s">
        <v>102</v>
      </c>
    </row>
    <row r="65" spans="1:1" x14ac:dyDescent="0.25">
      <c r="A65" s="39" t="s">
        <v>103</v>
      </c>
    </row>
    <row r="66" spans="1:1" x14ac:dyDescent="0.25">
      <c r="A66" s="39" t="s">
        <v>104</v>
      </c>
    </row>
    <row r="67" spans="1:1" x14ac:dyDescent="0.25">
      <c r="A67" s="39" t="s">
        <v>105</v>
      </c>
    </row>
    <row r="68" spans="1:1" x14ac:dyDescent="0.25">
      <c r="A68" s="39" t="s">
        <v>106</v>
      </c>
    </row>
    <row r="69" spans="1:1" x14ac:dyDescent="0.25">
      <c r="A69" s="39" t="s">
        <v>107</v>
      </c>
    </row>
    <row r="70" spans="1:1" x14ac:dyDescent="0.25">
      <c r="A70" s="39" t="s">
        <v>108</v>
      </c>
    </row>
    <row r="71" spans="1:1" x14ac:dyDescent="0.25">
      <c r="A71" s="39" t="s">
        <v>109</v>
      </c>
    </row>
    <row r="74" spans="1:1" x14ac:dyDescent="0.25">
      <c r="A74" t="s">
        <v>110</v>
      </c>
    </row>
    <row r="76" spans="1:1" x14ac:dyDescent="0.25">
      <c r="A76" s="39" t="s">
        <v>99</v>
      </c>
    </row>
    <row r="77" spans="1:1" x14ac:dyDescent="0.25">
      <c r="A77" s="39" t="s">
        <v>111</v>
      </c>
    </row>
    <row r="78" spans="1:1" x14ac:dyDescent="0.25">
      <c r="A78" s="39" t="s">
        <v>112</v>
      </c>
    </row>
    <row r="79" spans="1:1" x14ac:dyDescent="0.25">
      <c r="A79" s="39" t="s">
        <v>113</v>
      </c>
    </row>
    <row r="80" spans="1:1" x14ac:dyDescent="0.25">
      <c r="A80" s="39" t="s">
        <v>114</v>
      </c>
    </row>
    <row r="81" spans="1:1" x14ac:dyDescent="0.25">
      <c r="A81" s="39" t="s">
        <v>115</v>
      </c>
    </row>
    <row r="82" spans="1:1" x14ac:dyDescent="0.25">
      <c r="A82" s="39" t="s">
        <v>116</v>
      </c>
    </row>
    <row r="83" spans="1:1" x14ac:dyDescent="0.25">
      <c r="A83" s="39" t="s">
        <v>117</v>
      </c>
    </row>
    <row r="84" spans="1:1" x14ac:dyDescent="0.25">
      <c r="A84" s="39" t="s">
        <v>118</v>
      </c>
    </row>
    <row r="85" spans="1:1" x14ac:dyDescent="0.25">
      <c r="A85" s="39" t="s">
        <v>119</v>
      </c>
    </row>
    <row r="86" spans="1:1" x14ac:dyDescent="0.25">
      <c r="A86" s="39" t="s">
        <v>120</v>
      </c>
    </row>
    <row r="87" spans="1:1" x14ac:dyDescent="0.25">
      <c r="A87" s="39" t="s">
        <v>108</v>
      </c>
    </row>
    <row r="88" spans="1:1" x14ac:dyDescent="0.25">
      <c r="A88" s="39" t="s">
        <v>109</v>
      </c>
    </row>
    <row r="91" spans="1:1" x14ac:dyDescent="0.25">
      <c r="A91" t="s">
        <v>121</v>
      </c>
    </row>
    <row r="93" spans="1:1" x14ac:dyDescent="0.25">
      <c r="A93" s="39" t="s">
        <v>99</v>
      </c>
    </row>
    <row r="94" spans="1:1" x14ac:dyDescent="0.25">
      <c r="A94" s="39" t="s">
        <v>122</v>
      </c>
    </row>
    <row r="95" spans="1:1" x14ac:dyDescent="0.25">
      <c r="A95" s="39" t="s">
        <v>123</v>
      </c>
    </row>
    <row r="96" spans="1:1" x14ac:dyDescent="0.25">
      <c r="A96" s="39" t="s">
        <v>124</v>
      </c>
    </row>
    <row r="97" spans="1:1" x14ac:dyDescent="0.25">
      <c r="A97" s="39" t="s">
        <v>125</v>
      </c>
    </row>
    <row r="98" spans="1:1" x14ac:dyDescent="0.25">
      <c r="A98" s="39" t="s">
        <v>126</v>
      </c>
    </row>
    <row r="99" spans="1:1" x14ac:dyDescent="0.25">
      <c r="A99" s="39" t="s">
        <v>127</v>
      </c>
    </row>
    <row r="100" spans="1:1" x14ac:dyDescent="0.25">
      <c r="A100" s="39" t="s">
        <v>128</v>
      </c>
    </row>
    <row r="101" spans="1:1" x14ac:dyDescent="0.25">
      <c r="A101" s="39" t="s">
        <v>129</v>
      </c>
    </row>
    <row r="102" spans="1:1" x14ac:dyDescent="0.25">
      <c r="A102" s="39" t="s">
        <v>130</v>
      </c>
    </row>
    <row r="103" spans="1:1" x14ac:dyDescent="0.25">
      <c r="A103" s="39" t="s">
        <v>131</v>
      </c>
    </row>
    <row r="104" spans="1:1" x14ac:dyDescent="0.25">
      <c r="A104" s="39" t="s">
        <v>132</v>
      </c>
    </row>
    <row r="105" spans="1:1" x14ac:dyDescent="0.25">
      <c r="A105" s="39" t="s">
        <v>133</v>
      </c>
    </row>
    <row r="108" spans="1:1" x14ac:dyDescent="0.25">
      <c r="A108" t="s">
        <v>138</v>
      </c>
    </row>
    <row r="110" spans="1:1" x14ac:dyDescent="0.25">
      <c r="A110" s="39" t="s">
        <v>139</v>
      </c>
    </row>
    <row r="111" spans="1:1" x14ac:dyDescent="0.25">
      <c r="A111" s="39" t="s">
        <v>140</v>
      </c>
    </row>
    <row r="112" spans="1:1" x14ac:dyDescent="0.25">
      <c r="A112" s="39" t="s">
        <v>141</v>
      </c>
    </row>
    <row r="113" spans="1:1" x14ac:dyDescent="0.25">
      <c r="A113" s="39" t="s">
        <v>142</v>
      </c>
    </row>
    <row r="114" spans="1:1" x14ac:dyDescent="0.25">
      <c r="A114" s="39" t="s">
        <v>143</v>
      </c>
    </row>
    <row r="115" spans="1:1" x14ac:dyDescent="0.25">
      <c r="A115" s="39" t="s">
        <v>144</v>
      </c>
    </row>
    <row r="116" spans="1:1" x14ac:dyDescent="0.25">
      <c r="A116" s="39" t="s">
        <v>145</v>
      </c>
    </row>
    <row r="117" spans="1:1" x14ac:dyDescent="0.25">
      <c r="A117" s="39" t="s">
        <v>146</v>
      </c>
    </row>
    <row r="120" spans="1:1" x14ac:dyDescent="0.25">
      <c r="A120" t="s">
        <v>147</v>
      </c>
    </row>
    <row r="122" spans="1:1" x14ac:dyDescent="0.25">
      <c r="A122" s="39" t="s">
        <v>148</v>
      </c>
    </row>
    <row r="123" spans="1:1" x14ac:dyDescent="0.25">
      <c r="A123" s="39" t="s">
        <v>149</v>
      </c>
    </row>
    <row r="124" spans="1:1" x14ac:dyDescent="0.25">
      <c r="A124" s="39" t="s">
        <v>150</v>
      </c>
    </row>
    <row r="125" spans="1:1" x14ac:dyDescent="0.25">
      <c r="A125" s="39" t="s">
        <v>151</v>
      </c>
    </row>
    <row r="126" spans="1:1" x14ac:dyDescent="0.25">
      <c r="A126" s="39" t="s">
        <v>152</v>
      </c>
    </row>
    <row r="127" spans="1:1" x14ac:dyDescent="0.25">
      <c r="A127" s="39" t="s">
        <v>153</v>
      </c>
    </row>
    <row r="128" spans="1:1" x14ac:dyDescent="0.25">
      <c r="A128" s="39" t="s">
        <v>154</v>
      </c>
    </row>
    <row r="131" spans="1:1" x14ac:dyDescent="0.25">
      <c r="A131" t="s">
        <v>155</v>
      </c>
    </row>
    <row r="133" spans="1:1" x14ac:dyDescent="0.25">
      <c r="A133" s="39" t="s">
        <v>156</v>
      </c>
    </row>
    <row r="134" spans="1:1" x14ac:dyDescent="0.25">
      <c r="A134" s="39" t="s">
        <v>157</v>
      </c>
    </row>
    <row r="135" spans="1:1" x14ac:dyDescent="0.25">
      <c r="A135" s="39" t="s">
        <v>158</v>
      </c>
    </row>
    <row r="136" spans="1:1" x14ac:dyDescent="0.25">
      <c r="A136" s="39" t="s">
        <v>159</v>
      </c>
    </row>
    <row r="137" spans="1:1" x14ac:dyDescent="0.25">
      <c r="A137" s="39" t="s">
        <v>160</v>
      </c>
    </row>
    <row r="138" spans="1:1" x14ac:dyDescent="0.25">
      <c r="A138" s="39" t="s">
        <v>161</v>
      </c>
    </row>
    <row r="139" spans="1:1" x14ac:dyDescent="0.25">
      <c r="A139" s="39" t="s">
        <v>162</v>
      </c>
    </row>
    <row r="142" spans="1:1" x14ac:dyDescent="0.25">
      <c r="A142" t="s">
        <v>163</v>
      </c>
    </row>
    <row r="144" spans="1:1" x14ac:dyDescent="0.25">
      <c r="A144" s="39" t="s">
        <v>164</v>
      </c>
    </row>
    <row r="145" spans="1:1" x14ac:dyDescent="0.25">
      <c r="A145" s="39" t="s">
        <v>165</v>
      </c>
    </row>
    <row r="146" spans="1:1" x14ac:dyDescent="0.25">
      <c r="A146" s="39" t="s">
        <v>166</v>
      </c>
    </row>
    <row r="147" spans="1:1" x14ac:dyDescent="0.25">
      <c r="A147" s="39" t="s">
        <v>167</v>
      </c>
    </row>
    <row r="148" spans="1:1" x14ac:dyDescent="0.25">
      <c r="A148" s="39" t="s">
        <v>168</v>
      </c>
    </row>
    <row r="149" spans="1:1" x14ac:dyDescent="0.25">
      <c r="A149" s="39" t="s">
        <v>169</v>
      </c>
    </row>
    <row r="150" spans="1:1" x14ac:dyDescent="0.25">
      <c r="A150" s="39" t="s">
        <v>170</v>
      </c>
    </row>
    <row r="153" spans="1:1" x14ac:dyDescent="0.25">
      <c r="A153" t="s">
        <v>171</v>
      </c>
    </row>
    <row r="155" spans="1:1" x14ac:dyDescent="0.25">
      <c r="A155" s="39" t="s">
        <v>172</v>
      </c>
    </row>
    <row r="156" spans="1:1" x14ac:dyDescent="0.25">
      <c r="A156" s="39" t="s">
        <v>173</v>
      </c>
    </row>
    <row r="157" spans="1:1" x14ac:dyDescent="0.25">
      <c r="A157" s="39" t="s">
        <v>174</v>
      </c>
    </row>
    <row r="158" spans="1:1" x14ac:dyDescent="0.25">
      <c r="A158" s="39" t="s">
        <v>175</v>
      </c>
    </row>
    <row r="159" spans="1:1" x14ac:dyDescent="0.25">
      <c r="A159" s="39" t="s">
        <v>176</v>
      </c>
    </row>
    <row r="160" spans="1:1" x14ac:dyDescent="0.25">
      <c r="A160" s="39" t="s">
        <v>177</v>
      </c>
    </row>
    <row r="161" spans="1:1" x14ac:dyDescent="0.25">
      <c r="A161" s="39" t="s">
        <v>178</v>
      </c>
    </row>
    <row r="162" spans="1:1" x14ac:dyDescent="0.25">
      <c r="A162" s="39" t="s">
        <v>179</v>
      </c>
    </row>
    <row r="163" spans="1:1" x14ac:dyDescent="0.25">
      <c r="A163" s="39" t="s">
        <v>180</v>
      </c>
    </row>
    <row r="164" spans="1:1" x14ac:dyDescent="0.25">
      <c r="A164" s="39" t="s">
        <v>181</v>
      </c>
    </row>
    <row r="165" spans="1:1" x14ac:dyDescent="0.25">
      <c r="A165" s="39" t="s">
        <v>182</v>
      </c>
    </row>
    <row r="166" spans="1:1" x14ac:dyDescent="0.25">
      <c r="A166" s="39" t="s">
        <v>183</v>
      </c>
    </row>
    <row r="169" spans="1:1" x14ac:dyDescent="0.25">
      <c r="A169" t="s">
        <v>184</v>
      </c>
    </row>
    <row r="171" spans="1:1" x14ac:dyDescent="0.25">
      <c r="A171" s="39" t="s">
        <v>185</v>
      </c>
    </row>
    <row r="172" spans="1:1" x14ac:dyDescent="0.25">
      <c r="A172" s="39" t="s">
        <v>186</v>
      </c>
    </row>
    <row r="173" spans="1:1" x14ac:dyDescent="0.25">
      <c r="A173" s="39" t="s">
        <v>187</v>
      </c>
    </row>
    <row r="174" spans="1:1" x14ac:dyDescent="0.25">
      <c r="A174" s="39" t="s">
        <v>188</v>
      </c>
    </row>
    <row r="175" spans="1:1" x14ac:dyDescent="0.25">
      <c r="A175" s="39" t="s">
        <v>189</v>
      </c>
    </row>
    <row r="176" spans="1:1" x14ac:dyDescent="0.25">
      <c r="A176" s="39" t="s">
        <v>190</v>
      </c>
    </row>
    <row r="177" spans="1:1" x14ac:dyDescent="0.25">
      <c r="A177" s="39" t="s">
        <v>191</v>
      </c>
    </row>
    <row r="178" spans="1:1" x14ac:dyDescent="0.25">
      <c r="A178" s="39" t="s">
        <v>192</v>
      </c>
    </row>
    <row r="179" spans="1:1" x14ac:dyDescent="0.25">
      <c r="A179" s="39" t="s">
        <v>193</v>
      </c>
    </row>
    <row r="180" spans="1:1" x14ac:dyDescent="0.25">
      <c r="A180" s="39" t="s">
        <v>194</v>
      </c>
    </row>
    <row r="181" spans="1:1" x14ac:dyDescent="0.25">
      <c r="A181" s="39" t="s">
        <v>195</v>
      </c>
    </row>
    <row r="182" spans="1:1" x14ac:dyDescent="0.25">
      <c r="A182" s="32" t="s">
        <v>134</v>
      </c>
    </row>
    <row r="183" spans="1:1" x14ac:dyDescent="0.25">
      <c r="A183" t="s">
        <v>135</v>
      </c>
    </row>
    <row r="184" spans="1:1" x14ac:dyDescent="0.25">
      <c r="A184" s="40" t="s">
        <v>136</v>
      </c>
    </row>
    <row r="185" spans="1:1" x14ac:dyDescent="0.25">
      <c r="A185" s="32" t="s">
        <v>137</v>
      </c>
    </row>
    <row r="188" spans="1:1" x14ac:dyDescent="0.25">
      <c r="A188" t="s">
        <v>196</v>
      </c>
    </row>
    <row r="189" spans="1:1" x14ac:dyDescent="0.25">
      <c r="A189" s="39" t="s">
        <v>197</v>
      </c>
    </row>
    <row r="190" spans="1:1" x14ac:dyDescent="0.25">
      <c r="A190" s="39" t="s">
        <v>198</v>
      </c>
    </row>
    <row r="191" spans="1:1" x14ac:dyDescent="0.25">
      <c r="A191" s="39" t="s">
        <v>199</v>
      </c>
    </row>
    <row r="192" spans="1:1" x14ac:dyDescent="0.25">
      <c r="A192" s="39" t="s">
        <v>200</v>
      </c>
    </row>
    <row r="193" spans="1:1" x14ac:dyDescent="0.25">
      <c r="A193" s="39" t="s">
        <v>201</v>
      </c>
    </row>
    <row r="194" spans="1:1" x14ac:dyDescent="0.25">
      <c r="A194" s="39" t="s">
        <v>202</v>
      </c>
    </row>
    <row r="195" spans="1:1" x14ac:dyDescent="0.25">
      <c r="A195" s="39" t="s">
        <v>203</v>
      </c>
    </row>
    <row r="196" spans="1:1" x14ac:dyDescent="0.25">
      <c r="A196" s="39" t="s">
        <v>204</v>
      </c>
    </row>
    <row r="197" spans="1:1" x14ac:dyDescent="0.25">
      <c r="A197" s="39" t="s">
        <v>205</v>
      </c>
    </row>
    <row r="198" spans="1:1" x14ac:dyDescent="0.25">
      <c r="A198" s="39" t="s">
        <v>206</v>
      </c>
    </row>
    <row r="199" spans="1:1" x14ac:dyDescent="0.25">
      <c r="A199" s="39" t="s">
        <v>207</v>
      </c>
    </row>
    <row r="200" spans="1:1" x14ac:dyDescent="0.25">
      <c r="A200" s="39" t="s">
        <v>208</v>
      </c>
    </row>
    <row r="201" spans="1:1" x14ac:dyDescent="0.25">
      <c r="A201" s="39" t="s">
        <v>209</v>
      </c>
    </row>
    <row r="202" spans="1:1" x14ac:dyDescent="0.25">
      <c r="A202" s="39" t="s">
        <v>210</v>
      </c>
    </row>
    <row r="203" spans="1:1" x14ac:dyDescent="0.25">
      <c r="A203" s="39" t="s">
        <v>211</v>
      </c>
    </row>
    <row r="204" spans="1:1" x14ac:dyDescent="0.25">
      <c r="A204" s="39" t="s">
        <v>212</v>
      </c>
    </row>
    <row r="205" spans="1:1" x14ac:dyDescent="0.25">
      <c r="A205" s="39" t="s">
        <v>213</v>
      </c>
    </row>
    <row r="206" spans="1:1" x14ac:dyDescent="0.25">
      <c r="A206" s="39" t="s">
        <v>214</v>
      </c>
    </row>
    <row r="207" spans="1:1" x14ac:dyDescent="0.25">
      <c r="A207" s="39" t="s">
        <v>215</v>
      </c>
    </row>
    <row r="208" spans="1:1" x14ac:dyDescent="0.25">
      <c r="A208" s="39" t="s">
        <v>216</v>
      </c>
    </row>
    <row r="209" spans="1:1" x14ac:dyDescent="0.25">
      <c r="A209" s="39" t="s">
        <v>217</v>
      </c>
    </row>
    <row r="210" spans="1:1" x14ac:dyDescent="0.25">
      <c r="A210" s="39" t="s">
        <v>218</v>
      </c>
    </row>
    <row r="211" spans="1:1" x14ac:dyDescent="0.25">
      <c r="A211" s="39" t="s">
        <v>219</v>
      </c>
    </row>
    <row r="212" spans="1:1" x14ac:dyDescent="0.25">
      <c r="A212" s="39" t="s">
        <v>220</v>
      </c>
    </row>
    <row r="213" spans="1:1" x14ac:dyDescent="0.25">
      <c r="A213" s="39" t="s">
        <v>221</v>
      </c>
    </row>
    <row r="214" spans="1:1" x14ac:dyDescent="0.25">
      <c r="A214" s="39" t="s">
        <v>222</v>
      </c>
    </row>
    <row r="215" spans="1:1" x14ac:dyDescent="0.25">
      <c r="A215" s="39" t="s">
        <v>223</v>
      </c>
    </row>
    <row r="216" spans="1:1" x14ac:dyDescent="0.25">
      <c r="A216" s="39" t="s">
        <v>224</v>
      </c>
    </row>
    <row r="217" spans="1:1" x14ac:dyDescent="0.25">
      <c r="A217" s="39" t="s">
        <v>225</v>
      </c>
    </row>
    <row r="218" spans="1:1" x14ac:dyDescent="0.25">
      <c r="A218" s="39" t="s">
        <v>226</v>
      </c>
    </row>
    <row r="219" spans="1:1" x14ac:dyDescent="0.25">
      <c r="A219" s="39" t="s">
        <v>227</v>
      </c>
    </row>
    <row r="220" spans="1:1" x14ac:dyDescent="0.25">
      <c r="A220" s="39" t="s">
        <v>228</v>
      </c>
    </row>
    <row r="221" spans="1:1" x14ac:dyDescent="0.25">
      <c r="A221" s="39" t="s">
        <v>229</v>
      </c>
    </row>
    <row r="222" spans="1:1" x14ac:dyDescent="0.25">
      <c r="A222" s="39" t="s">
        <v>230</v>
      </c>
    </row>
    <row r="223" spans="1:1" x14ac:dyDescent="0.25">
      <c r="A223" s="39" t="s">
        <v>231</v>
      </c>
    </row>
    <row r="224" spans="1:1" x14ac:dyDescent="0.25">
      <c r="A224" s="39" t="s">
        <v>232</v>
      </c>
    </row>
    <row r="225" spans="1:1" x14ac:dyDescent="0.25">
      <c r="A225" s="39" t="s">
        <v>233</v>
      </c>
    </row>
    <row r="226" spans="1:1" x14ac:dyDescent="0.25">
      <c r="A226" s="39" t="s">
        <v>234</v>
      </c>
    </row>
    <row r="227" spans="1:1" x14ac:dyDescent="0.25">
      <c r="A227" s="39" t="s">
        <v>235</v>
      </c>
    </row>
    <row r="228" spans="1:1" x14ac:dyDescent="0.25">
      <c r="A228" s="39" t="s">
        <v>236</v>
      </c>
    </row>
    <row r="229" spans="1:1" x14ac:dyDescent="0.25">
      <c r="A229" s="39" t="s">
        <v>237</v>
      </c>
    </row>
    <row r="230" spans="1:1" x14ac:dyDescent="0.25">
      <c r="A230" s="39" t="s">
        <v>238</v>
      </c>
    </row>
    <row r="231" spans="1:1" x14ac:dyDescent="0.25">
      <c r="A231" s="39" t="s">
        <v>239</v>
      </c>
    </row>
    <row r="232" spans="1:1" x14ac:dyDescent="0.25">
      <c r="A232" s="39" t="s">
        <v>240</v>
      </c>
    </row>
    <row r="233" spans="1:1" x14ac:dyDescent="0.25">
      <c r="A233" s="39" t="s">
        <v>241</v>
      </c>
    </row>
    <row r="234" spans="1:1" x14ac:dyDescent="0.25">
      <c r="A234" s="39" t="s">
        <v>242</v>
      </c>
    </row>
    <row r="235" spans="1:1" x14ac:dyDescent="0.25">
      <c r="A235" s="39" t="s">
        <v>243</v>
      </c>
    </row>
    <row r="236" spans="1:1" x14ac:dyDescent="0.25">
      <c r="A236" s="39" t="s">
        <v>244</v>
      </c>
    </row>
    <row r="237" spans="1:1" x14ac:dyDescent="0.25">
      <c r="A237" s="39" t="s">
        <v>245</v>
      </c>
    </row>
    <row r="238" spans="1:1" x14ac:dyDescent="0.25">
      <c r="A238" s="39" t="s">
        <v>246</v>
      </c>
    </row>
    <row r="239" spans="1:1" x14ac:dyDescent="0.25">
      <c r="A239" s="39" t="s">
        <v>247</v>
      </c>
    </row>
    <row r="240" spans="1:1" x14ac:dyDescent="0.25">
      <c r="A240" s="39" t="s">
        <v>248</v>
      </c>
    </row>
    <row r="241" spans="1:1" x14ac:dyDescent="0.25">
      <c r="A241" s="39" t="s">
        <v>249</v>
      </c>
    </row>
    <row r="242" spans="1:1" x14ac:dyDescent="0.25">
      <c r="A242" s="39" t="s">
        <v>250</v>
      </c>
    </row>
    <row r="243" spans="1:1" x14ac:dyDescent="0.25">
      <c r="A243" s="39" t="s">
        <v>251</v>
      </c>
    </row>
    <row r="244" spans="1:1" x14ac:dyDescent="0.25">
      <c r="A244" s="39" t="s">
        <v>252</v>
      </c>
    </row>
    <row r="245" spans="1:1" x14ac:dyDescent="0.25">
      <c r="A245" s="39" t="s">
        <v>253</v>
      </c>
    </row>
    <row r="246" spans="1:1" x14ac:dyDescent="0.25">
      <c r="A246" s="39" t="s">
        <v>254</v>
      </c>
    </row>
    <row r="247" spans="1:1" x14ac:dyDescent="0.25">
      <c r="A247" s="39" t="s">
        <v>255</v>
      </c>
    </row>
    <row r="248" spans="1:1" x14ac:dyDescent="0.25">
      <c r="A248" s="39" t="s">
        <v>256</v>
      </c>
    </row>
    <row r="249" spans="1:1" x14ac:dyDescent="0.25">
      <c r="A249" s="39" t="s">
        <v>257</v>
      </c>
    </row>
    <row r="250" spans="1:1" x14ac:dyDescent="0.25">
      <c r="A250" s="39" t="s">
        <v>258</v>
      </c>
    </row>
    <row r="251" spans="1:1" x14ac:dyDescent="0.25">
      <c r="A251" s="39" t="s">
        <v>259</v>
      </c>
    </row>
    <row r="252" spans="1:1" x14ac:dyDescent="0.25">
      <c r="A252" s="39" t="s">
        <v>260</v>
      </c>
    </row>
    <row r="253" spans="1:1" x14ac:dyDescent="0.25">
      <c r="A253" s="39" t="s">
        <v>261</v>
      </c>
    </row>
    <row r="254" spans="1:1" x14ac:dyDescent="0.25">
      <c r="A254" s="39" t="s">
        <v>262</v>
      </c>
    </row>
    <row r="255" spans="1:1" x14ac:dyDescent="0.25">
      <c r="A255" s="39" t="s">
        <v>263</v>
      </c>
    </row>
    <row r="256" spans="1:1" x14ac:dyDescent="0.25">
      <c r="A256" s="39" t="s">
        <v>264</v>
      </c>
    </row>
    <row r="257" spans="1:1" x14ac:dyDescent="0.25">
      <c r="A257" s="39" t="s">
        <v>265</v>
      </c>
    </row>
    <row r="258" spans="1:1" x14ac:dyDescent="0.25">
      <c r="A258" s="39" t="s">
        <v>266</v>
      </c>
    </row>
    <row r="259" spans="1:1" x14ac:dyDescent="0.25">
      <c r="A259" s="39" t="s">
        <v>267</v>
      </c>
    </row>
    <row r="260" spans="1:1" x14ac:dyDescent="0.25">
      <c r="A260" s="39" t="s">
        <v>268</v>
      </c>
    </row>
    <row r="261" spans="1:1" x14ac:dyDescent="0.25">
      <c r="A261" s="39" t="s">
        <v>269</v>
      </c>
    </row>
    <row r="262" spans="1:1" x14ac:dyDescent="0.25">
      <c r="A262" s="39" t="s">
        <v>270</v>
      </c>
    </row>
    <row r="263" spans="1:1" x14ac:dyDescent="0.25">
      <c r="A263" s="39" t="s">
        <v>271</v>
      </c>
    </row>
    <row r="264" spans="1:1" x14ac:dyDescent="0.25">
      <c r="A264" s="39" t="s">
        <v>272</v>
      </c>
    </row>
    <row r="265" spans="1:1" x14ac:dyDescent="0.25">
      <c r="A265" s="39" t="s">
        <v>273</v>
      </c>
    </row>
    <row r="266" spans="1:1" x14ac:dyDescent="0.25">
      <c r="A266" s="39" t="s">
        <v>274</v>
      </c>
    </row>
    <row r="267" spans="1:1" x14ac:dyDescent="0.25">
      <c r="A267" s="39" t="s">
        <v>275</v>
      </c>
    </row>
    <row r="268" spans="1:1" x14ac:dyDescent="0.25">
      <c r="A268" s="39" t="s">
        <v>276</v>
      </c>
    </row>
    <row r="269" spans="1:1" x14ac:dyDescent="0.25">
      <c r="A269" s="39" t="s">
        <v>277</v>
      </c>
    </row>
    <row r="270" spans="1:1" x14ac:dyDescent="0.25">
      <c r="A270" s="39" t="s">
        <v>278</v>
      </c>
    </row>
  </sheetData>
  <hyperlinks>
    <hyperlink ref="A182" r:id="rId1" display="javascript:ShowSignature('202240386');"/>
    <hyperlink ref="A185" r:id="rId2" tooltip="http://docs.google.com/Doc?docid=0AWl8cQ9-H8RZZDg5Zjg1cV8xMjRka3F2dGQ2&amp;hl=es" display="http://docs.google.com/Doc?docid=0AWl8cQ9-H8RZZDg5Zjg1cV8xMjRka3F2dGQ2&amp;hl=es"/>
    <hyperlink ref="G2" r:id="rId3" tooltip="/Help/Rules/PlayerAttributes.aspx" display="http://www74.hattrick.org/Help/Rules/PlayerAttributes.aspx"/>
  </hyperlinks>
  <pageMargins left="0.7" right="0.7" top="0.75" bottom="0.75" header="0.3" footer="0.3"/>
  <pageSetup paperSize="9" orientation="portrait" r:id="rId4"/>
  <drawing r:id="rId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zoomScale="90" zoomScaleNormal="90" workbookViewId="0">
      <selection activeCell="A22" sqref="A22:M23"/>
    </sheetView>
  </sheetViews>
  <sheetFormatPr baseColWidth="10" defaultColWidth="11.42578125" defaultRowHeight="15" x14ac:dyDescent="0.25"/>
  <cols>
    <col min="1" max="1" width="17.28515625" customWidth="1"/>
    <col min="11" max="11" width="9.42578125" bestFit="1" customWidth="1"/>
    <col min="12" max="12" width="8.5703125" bestFit="1" customWidth="1"/>
    <col min="13" max="13" width="15.85546875" customWidth="1"/>
    <col min="14" max="14" width="8.5703125" bestFit="1" customWidth="1"/>
    <col min="15" max="15" width="9.42578125" bestFit="1" customWidth="1"/>
    <col min="16" max="16" width="6" bestFit="1" customWidth="1"/>
    <col min="17" max="17" width="6.85546875" bestFit="1" customWidth="1"/>
    <col min="18" max="18" width="6.28515625" bestFit="1" customWidth="1"/>
  </cols>
  <sheetData>
    <row r="1" spans="1:13" x14ac:dyDescent="0.25">
      <c r="A1" s="2" t="s">
        <v>474</v>
      </c>
      <c r="M1" s="48" t="s">
        <v>1214</v>
      </c>
    </row>
    <row r="2" spans="1:13" x14ac:dyDescent="0.25">
      <c r="A2" t="s">
        <v>475</v>
      </c>
      <c r="M2" s="48" t="s">
        <v>1215</v>
      </c>
    </row>
    <row r="3" spans="1:13" x14ac:dyDescent="0.25">
      <c r="A3" t="s">
        <v>477</v>
      </c>
      <c r="M3" s="48"/>
    </row>
    <row r="4" spans="1:13" x14ac:dyDescent="0.25">
      <c r="A4" s="59" t="s">
        <v>478</v>
      </c>
      <c r="M4" s="48" t="s">
        <v>1216</v>
      </c>
    </row>
    <row r="5" spans="1:13" x14ac:dyDescent="0.25">
      <c r="A5" s="59" t="s">
        <v>479</v>
      </c>
    </row>
    <row r="6" spans="1:13" x14ac:dyDescent="0.25">
      <c r="A6" t="s">
        <v>476</v>
      </c>
    </row>
    <row r="8" spans="1:13" x14ac:dyDescent="0.25">
      <c r="A8" s="32" t="s">
        <v>847</v>
      </c>
    </row>
    <row r="9" spans="1:13" x14ac:dyDescent="0.25">
      <c r="A9" t="s">
        <v>848</v>
      </c>
    </row>
    <row r="10" spans="1:13" x14ac:dyDescent="0.25">
      <c r="A10" s="1"/>
    </row>
    <row r="11" spans="1:13" x14ac:dyDescent="0.25">
      <c r="A11" s="176" t="s">
        <v>849</v>
      </c>
    </row>
    <row r="12" spans="1:13" x14ac:dyDescent="0.25">
      <c r="A12" s="1" t="s">
        <v>850</v>
      </c>
    </row>
    <row r="14" spans="1:13" x14ac:dyDescent="0.25">
      <c r="A14" t="s">
        <v>851</v>
      </c>
    </row>
    <row r="16" spans="1:13" x14ac:dyDescent="0.25">
      <c r="A16" t="s">
        <v>852</v>
      </c>
    </row>
    <row r="18" spans="1:1" x14ac:dyDescent="0.25">
      <c r="A18" t="s">
        <v>853</v>
      </c>
    </row>
    <row r="20" spans="1:1" x14ac:dyDescent="0.25">
      <c r="A20" t="s">
        <v>854</v>
      </c>
    </row>
    <row r="21" spans="1:1" x14ac:dyDescent="0.25">
      <c r="A21" t="s">
        <v>855</v>
      </c>
    </row>
    <row r="22" spans="1:1" x14ac:dyDescent="0.25">
      <c r="A22" t="s">
        <v>856</v>
      </c>
    </row>
    <row r="23" spans="1:1" x14ac:dyDescent="0.25">
      <c r="A23" t="s">
        <v>857</v>
      </c>
    </row>
    <row r="24" spans="1:1" x14ac:dyDescent="0.25">
      <c r="A24" t="s">
        <v>858</v>
      </c>
    </row>
    <row r="26" spans="1:1" x14ac:dyDescent="0.25">
      <c r="A26" t="s">
        <v>859</v>
      </c>
    </row>
  </sheetData>
  <hyperlinks>
    <hyperlink ref="A8" r:id="rId1" tooltip="Castelldefels" display="http://www78.hattrick.org/Club/?TeamID=47586"/>
  </hyperlinks>
  <pageMargins left="0.7" right="0.7" top="0.75" bottom="0.75" header="0.3" footer="0.3"/>
  <pageSetup paperSize="9" orientation="portrait" r:id="rId2"/>
  <drawing r:id="rId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zoomScale="110" zoomScaleNormal="110" workbookViewId="0">
      <selection activeCell="E9" sqref="E9"/>
    </sheetView>
  </sheetViews>
  <sheetFormatPr baseColWidth="10" defaultColWidth="11.42578125" defaultRowHeight="15" x14ac:dyDescent="0.25"/>
  <cols>
    <col min="1" max="1" width="134.85546875" customWidth="1"/>
  </cols>
  <sheetData>
    <row r="1" spans="1:1" ht="18" thickBot="1" x14ac:dyDescent="0.3">
      <c r="A1" s="359" t="s">
        <v>849</v>
      </c>
    </row>
    <row r="2" spans="1:1" ht="22.5" x14ac:dyDescent="0.25">
      <c r="A2" s="360" t="s">
        <v>1343</v>
      </c>
    </row>
    <row r="3" spans="1:1" x14ac:dyDescent="0.25">
      <c r="A3" s="358"/>
    </row>
    <row r="4" spans="1:1" ht="33" x14ac:dyDescent="0.25">
      <c r="A4" s="545" t="s">
        <v>1344</v>
      </c>
    </row>
    <row r="5" spans="1:1" ht="33" x14ac:dyDescent="0.25">
      <c r="A5" s="360" t="s">
        <v>1345</v>
      </c>
    </row>
    <row r="6" spans="1:1" x14ac:dyDescent="0.25">
      <c r="A6" s="361" t="s">
        <v>1346</v>
      </c>
    </row>
    <row r="7" spans="1:1" ht="22.5" x14ac:dyDescent="0.25">
      <c r="A7" s="360" t="s">
        <v>1347</v>
      </c>
    </row>
    <row r="8" spans="1:1" x14ac:dyDescent="0.25">
      <c r="A8" s="360" t="s">
        <v>1348</v>
      </c>
    </row>
    <row r="9" spans="1:1" x14ac:dyDescent="0.25">
      <c r="A9" s="360" t="s">
        <v>1349</v>
      </c>
    </row>
    <row r="10" spans="1:1" x14ac:dyDescent="0.25">
      <c r="A10" s="360" t="s">
        <v>1350</v>
      </c>
    </row>
    <row r="11" spans="1:1" ht="22.5" x14ac:dyDescent="0.25">
      <c r="A11" s="360" t="s">
        <v>1351</v>
      </c>
    </row>
    <row r="12" spans="1:1" x14ac:dyDescent="0.25">
      <c r="A12" s="361" t="s">
        <v>1352</v>
      </c>
    </row>
    <row r="13" spans="1:1" ht="22.5" x14ac:dyDescent="0.25">
      <c r="A13" s="360" t="s">
        <v>1353</v>
      </c>
    </row>
    <row r="14" spans="1:1" ht="33" x14ac:dyDescent="0.25">
      <c r="A14" s="360" t="s">
        <v>1354</v>
      </c>
    </row>
    <row r="15" spans="1:1" ht="22.5" x14ac:dyDescent="0.25">
      <c r="A15" s="360" t="s">
        <v>1355</v>
      </c>
    </row>
    <row r="16" spans="1:1" x14ac:dyDescent="0.25">
      <c r="A16" s="360" t="s">
        <v>1356</v>
      </c>
    </row>
    <row r="17" spans="1:1" ht="22.5" x14ac:dyDescent="0.25">
      <c r="A17" s="360" t="s">
        <v>1357</v>
      </c>
    </row>
    <row r="18" spans="1:1" ht="43.5" x14ac:dyDescent="0.25">
      <c r="A18" s="362" t="s">
        <v>1358</v>
      </c>
    </row>
    <row r="19" spans="1:1" ht="22.5" x14ac:dyDescent="0.25">
      <c r="A19" s="362" t="s">
        <v>1359</v>
      </c>
    </row>
    <row r="20" spans="1:1" x14ac:dyDescent="0.25">
      <c r="A20" s="362" t="s">
        <v>1360</v>
      </c>
    </row>
    <row r="21" spans="1:1" ht="18" thickBot="1" x14ac:dyDescent="0.3">
      <c r="A21" s="359" t="s">
        <v>1361</v>
      </c>
    </row>
    <row r="22" spans="1:1" ht="22.5" x14ac:dyDescent="0.25">
      <c r="A22" s="360" t="s">
        <v>1362</v>
      </c>
    </row>
    <row r="23" spans="1:1" ht="33" x14ac:dyDescent="0.25">
      <c r="A23" s="362" t="s">
        <v>1363</v>
      </c>
    </row>
    <row r="24" spans="1:1" ht="22.5" x14ac:dyDescent="0.25">
      <c r="A24" s="362" t="s">
        <v>1364</v>
      </c>
    </row>
  </sheetData>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zoomScale="70" zoomScaleNormal="70" workbookViewId="0">
      <selection activeCell="C11" sqref="C11"/>
    </sheetView>
  </sheetViews>
  <sheetFormatPr baseColWidth="10" defaultColWidth="11.42578125" defaultRowHeight="15" x14ac:dyDescent="0.25"/>
  <cols>
    <col min="2" max="2" width="13.42578125" bestFit="1" customWidth="1"/>
    <col min="5" max="5" width="6.42578125" style="88" bestFit="1" customWidth="1"/>
    <col min="6" max="6" width="14.85546875" style="111" bestFit="1" customWidth="1"/>
    <col min="7" max="7" width="18.28515625" bestFit="1" customWidth="1"/>
    <col min="8" max="8" width="12.140625" style="111" bestFit="1" customWidth="1"/>
    <col min="9" max="9" width="4.42578125" bestFit="1" customWidth="1"/>
  </cols>
  <sheetData>
    <row r="1" spans="1:10" x14ac:dyDescent="0.25">
      <c r="A1" s="90" t="s">
        <v>597</v>
      </c>
      <c r="B1" s="90"/>
      <c r="C1" s="90"/>
      <c r="D1" s="90"/>
      <c r="E1" s="16" t="s">
        <v>650</v>
      </c>
      <c r="F1" s="16" t="s">
        <v>599</v>
      </c>
      <c r="G1" s="16" t="s">
        <v>637</v>
      </c>
      <c r="H1" s="16" t="s">
        <v>648</v>
      </c>
      <c r="J1" s="39" t="s">
        <v>198</v>
      </c>
    </row>
    <row r="2" spans="1:10" x14ac:dyDescent="0.25">
      <c r="A2" s="783" t="s">
        <v>596</v>
      </c>
      <c r="B2" s="783"/>
      <c r="C2" s="783"/>
      <c r="D2" s="783"/>
      <c r="E2" s="87">
        <v>0</v>
      </c>
      <c r="F2" s="112">
        <f>E2^$C$11/E$50^$C$11</f>
        <v>0</v>
      </c>
      <c r="G2" s="49" t="s">
        <v>638</v>
      </c>
      <c r="H2" s="113">
        <f t="shared" ref="H2:H33" si="0">F2*20</f>
        <v>0</v>
      </c>
      <c r="J2" s="39" t="s">
        <v>199</v>
      </c>
    </row>
    <row r="3" spans="1:10" x14ac:dyDescent="0.25">
      <c r="E3" s="87">
        <v>7</v>
      </c>
      <c r="F3" s="112">
        <f t="shared" ref="F3:F49" si="1">E3^$C$11/E$50^$C$11</f>
        <v>8.394708266038052E-2</v>
      </c>
      <c r="G3" s="49" t="s">
        <v>639</v>
      </c>
      <c r="H3" s="113">
        <f t="shared" si="0"/>
        <v>1.6789416532076105</v>
      </c>
      <c r="J3" s="39" t="s">
        <v>200</v>
      </c>
    </row>
    <row r="4" spans="1:10" x14ac:dyDescent="0.25">
      <c r="E4" s="87">
        <v>14</v>
      </c>
      <c r="F4" s="112">
        <f t="shared" si="1"/>
        <v>0.13081718674960124</v>
      </c>
      <c r="G4" s="49" t="s">
        <v>640</v>
      </c>
      <c r="H4" s="113">
        <f t="shared" si="0"/>
        <v>2.6163437349920251</v>
      </c>
      <c r="J4" s="39" t="s">
        <v>201</v>
      </c>
    </row>
    <row r="5" spans="1:10" x14ac:dyDescent="0.25">
      <c r="A5" t="s">
        <v>598</v>
      </c>
      <c r="E5" s="87">
        <v>21</v>
      </c>
      <c r="F5" s="112">
        <f t="shared" si="1"/>
        <v>0.16957554093095897</v>
      </c>
      <c r="G5" s="49" t="s">
        <v>641</v>
      </c>
      <c r="H5" s="113">
        <f t="shared" si="0"/>
        <v>3.3915108186191794</v>
      </c>
      <c r="J5" s="39" t="s">
        <v>202</v>
      </c>
    </row>
    <row r="6" spans="1:10" x14ac:dyDescent="0.25">
      <c r="E6" s="110">
        <v>28</v>
      </c>
      <c r="F6" s="112">
        <f t="shared" si="1"/>
        <v>0.20385623665224431</v>
      </c>
      <c r="G6" s="49" t="s">
        <v>642</v>
      </c>
      <c r="H6" s="113">
        <f t="shared" si="0"/>
        <v>4.0771247330448865</v>
      </c>
      <c r="J6" s="39" t="s">
        <v>203</v>
      </c>
    </row>
    <row r="7" spans="1:10" x14ac:dyDescent="0.25">
      <c r="A7" t="s">
        <v>601</v>
      </c>
      <c r="E7" s="110">
        <v>35</v>
      </c>
      <c r="F7" s="112">
        <f t="shared" si="1"/>
        <v>0.23515077307285162</v>
      </c>
      <c r="G7" s="49" t="s">
        <v>643</v>
      </c>
      <c r="H7" s="113">
        <f t="shared" si="0"/>
        <v>4.7030154614570323</v>
      </c>
      <c r="J7" s="39" t="s">
        <v>204</v>
      </c>
    </row>
    <row r="8" spans="1:10" x14ac:dyDescent="0.25">
      <c r="E8" s="110">
        <v>42</v>
      </c>
      <c r="F8" s="112">
        <f t="shared" si="1"/>
        <v>0.26425451014034512</v>
      </c>
      <c r="G8" s="49" t="s">
        <v>644</v>
      </c>
      <c r="H8" s="113">
        <f t="shared" si="0"/>
        <v>5.2850902028069022</v>
      </c>
      <c r="J8" s="39" t="s">
        <v>205</v>
      </c>
    </row>
    <row r="9" spans="1:10" x14ac:dyDescent="0.25">
      <c r="E9" s="110">
        <v>49</v>
      </c>
      <c r="F9" s="112">
        <f t="shared" si="1"/>
        <v>0.29165427976090952</v>
      </c>
      <c r="G9" s="49" t="s">
        <v>645</v>
      </c>
      <c r="H9" s="113">
        <f t="shared" si="0"/>
        <v>5.8330855952181899</v>
      </c>
      <c r="J9" s="39" t="s">
        <v>206</v>
      </c>
    </row>
    <row r="10" spans="1:10" x14ac:dyDescent="0.25">
      <c r="E10" s="110">
        <v>56</v>
      </c>
      <c r="F10" s="112">
        <f t="shared" si="1"/>
        <v>0.31767511788463476</v>
      </c>
      <c r="G10" s="49" t="s">
        <v>646</v>
      </c>
      <c r="H10" s="113">
        <f t="shared" si="0"/>
        <v>6.3535023576926957</v>
      </c>
      <c r="J10" s="39" t="s">
        <v>207</v>
      </c>
    </row>
    <row r="11" spans="1:10" x14ac:dyDescent="0.25">
      <c r="C11" s="48">
        <v>0.64</v>
      </c>
      <c r="E11" s="110">
        <v>63</v>
      </c>
      <c r="F11" s="112">
        <f t="shared" si="1"/>
        <v>0.34254750934422762</v>
      </c>
      <c r="G11" s="49" t="s">
        <v>647</v>
      </c>
      <c r="H11" s="113">
        <f t="shared" si="0"/>
        <v>6.8509501868845524</v>
      </c>
      <c r="J11" s="39" t="s">
        <v>208</v>
      </c>
    </row>
    <row r="12" spans="1:10" x14ac:dyDescent="0.25">
      <c r="E12" s="110">
        <v>70</v>
      </c>
      <c r="F12" s="112">
        <f t="shared" si="1"/>
        <v>0.36644230651630028</v>
      </c>
      <c r="G12" s="49" t="s">
        <v>651</v>
      </c>
      <c r="H12" s="113">
        <f t="shared" si="0"/>
        <v>7.3288461303260055</v>
      </c>
      <c r="J12" s="39" t="s">
        <v>209</v>
      </c>
    </row>
    <row r="13" spans="1:10" x14ac:dyDescent="0.25">
      <c r="E13" s="110">
        <v>77</v>
      </c>
      <c r="F13" s="112">
        <f t="shared" si="1"/>
        <v>0.38949055134365018</v>
      </c>
      <c r="G13" s="49" t="s">
        <v>652</v>
      </c>
      <c r="H13" s="113">
        <f t="shared" si="0"/>
        <v>7.7898110268730036</v>
      </c>
      <c r="J13" s="39" t="s">
        <v>210</v>
      </c>
    </row>
    <row r="14" spans="1:10" x14ac:dyDescent="0.25">
      <c r="E14" s="110">
        <v>84</v>
      </c>
      <c r="F14" s="112">
        <f t="shared" si="1"/>
        <v>0.4117955086337865</v>
      </c>
      <c r="G14" s="49" t="s">
        <v>653</v>
      </c>
      <c r="H14" s="113">
        <f t="shared" si="0"/>
        <v>8.2359101726757302</v>
      </c>
      <c r="J14" s="39" t="s">
        <v>211</v>
      </c>
    </row>
    <row r="15" spans="1:10" x14ac:dyDescent="0.25">
      <c r="E15" s="110">
        <v>91</v>
      </c>
      <c r="F15" s="112">
        <f t="shared" si="1"/>
        <v>0.43344036514721096</v>
      </c>
      <c r="G15" s="49" t="s">
        <v>654</v>
      </c>
      <c r="H15" s="113">
        <f t="shared" si="0"/>
        <v>8.6688073029442201</v>
      </c>
      <c r="J15" s="39" t="s">
        <v>212</v>
      </c>
    </row>
    <row r="16" spans="1:10" x14ac:dyDescent="0.25">
      <c r="A16" s="89" t="s">
        <v>600</v>
      </c>
      <c r="B16" s="89"/>
      <c r="E16" s="110">
        <v>98</v>
      </c>
      <c r="F16" s="112">
        <f t="shared" si="1"/>
        <v>0.45449336859218992</v>
      </c>
      <c r="G16" s="49" t="s">
        <v>655</v>
      </c>
      <c r="H16" s="113">
        <f t="shared" si="0"/>
        <v>9.0898673718437983</v>
      </c>
      <c r="J16" s="39" t="s">
        <v>213</v>
      </c>
    </row>
    <row r="17" spans="1:10" x14ac:dyDescent="0.25">
      <c r="E17" s="110">
        <v>105</v>
      </c>
      <c r="F17" s="112">
        <f t="shared" si="1"/>
        <v>0.47501137955544109</v>
      </c>
      <c r="G17" s="49" t="s">
        <v>656</v>
      </c>
      <c r="H17" s="113">
        <f t="shared" si="0"/>
        <v>9.5002275911088212</v>
      </c>
      <c r="J17" s="39" t="s">
        <v>214</v>
      </c>
    </row>
    <row r="18" spans="1:10" x14ac:dyDescent="0.25">
      <c r="E18" s="110">
        <v>112</v>
      </c>
      <c r="F18" s="112">
        <f t="shared" si="1"/>
        <v>0.49504239939036226</v>
      </c>
      <c r="G18" s="49" t="s">
        <v>657</v>
      </c>
      <c r="H18" s="113">
        <f t="shared" si="0"/>
        <v>9.9008479878072446</v>
      </c>
      <c r="J18" s="39" t="s">
        <v>215</v>
      </c>
    </row>
    <row r="19" spans="1:10" x14ac:dyDescent="0.25">
      <c r="E19" s="110">
        <v>119</v>
      </c>
      <c r="F19" s="112">
        <f t="shared" si="1"/>
        <v>0.51462741468122808</v>
      </c>
      <c r="G19" s="49" t="s">
        <v>658</v>
      </c>
      <c r="H19" s="113">
        <f t="shared" si="0"/>
        <v>10.292548293624561</v>
      </c>
      <c r="J19" s="39" t="s">
        <v>216</v>
      </c>
    </row>
    <row r="20" spans="1:10" x14ac:dyDescent="0.25">
      <c r="E20" s="110">
        <v>126</v>
      </c>
      <c r="F20" s="112">
        <f t="shared" si="1"/>
        <v>0.53380177226389258</v>
      </c>
      <c r="G20" s="49" t="s">
        <v>659</v>
      </c>
      <c r="H20" s="113">
        <f t="shared" si="0"/>
        <v>10.676035445277851</v>
      </c>
      <c r="J20" s="39" t="s">
        <v>217</v>
      </c>
    </row>
    <row r="21" spans="1:10" x14ac:dyDescent="0.25">
      <c r="A21" s="30">
        <v>40833</v>
      </c>
      <c r="B21" s="59">
        <f ca="1">TODAY()-A21</f>
        <v>2222</v>
      </c>
      <c r="E21" s="110">
        <v>133</v>
      </c>
      <c r="F21" s="112">
        <f t="shared" si="1"/>
        <v>0.55259622364302807</v>
      </c>
      <c r="G21" s="49" t="s">
        <v>660</v>
      </c>
      <c r="H21" s="113">
        <f t="shared" si="0"/>
        <v>11.051924472860561</v>
      </c>
      <c r="J21" s="39" t="s">
        <v>218</v>
      </c>
    </row>
    <row r="22" spans="1:10" x14ac:dyDescent="0.25">
      <c r="B22">
        <f>48*7</f>
        <v>336</v>
      </c>
      <c r="E22" s="110">
        <v>140</v>
      </c>
      <c r="F22" s="112">
        <f t="shared" si="1"/>
        <v>0.57103773145319392</v>
      </c>
      <c r="G22" s="49" t="s">
        <v>661</v>
      </c>
      <c r="H22" s="113">
        <f t="shared" si="0"/>
        <v>11.420754629063879</v>
      </c>
      <c r="J22" s="39" t="s">
        <v>219</v>
      </c>
    </row>
    <row r="23" spans="1:10" x14ac:dyDescent="0.25">
      <c r="E23" s="110">
        <v>147</v>
      </c>
      <c r="F23" s="112">
        <f t="shared" si="1"/>
        <v>0.58915010132481105</v>
      </c>
      <c r="G23" s="49" t="s">
        <v>662</v>
      </c>
      <c r="H23" s="113">
        <f t="shared" si="0"/>
        <v>11.78300202649622</v>
      </c>
      <c r="J23" s="39" t="s">
        <v>220</v>
      </c>
    </row>
    <row r="24" spans="1:10" x14ac:dyDescent="0.25">
      <c r="B24" s="63">
        <f ca="1">(B21^C11)/(B22^C11)</f>
        <v>3.3501099243963632</v>
      </c>
      <c r="E24" s="110">
        <v>154</v>
      </c>
      <c r="F24" s="112">
        <f t="shared" si="1"/>
        <v>0.60695448343882286</v>
      </c>
      <c r="G24" s="49" t="s">
        <v>663</v>
      </c>
      <c r="H24" s="113">
        <f t="shared" si="0"/>
        <v>12.139089668776457</v>
      </c>
      <c r="J24" s="39" t="s">
        <v>221</v>
      </c>
    </row>
    <row r="25" spans="1:10" x14ac:dyDescent="0.25">
      <c r="B25" s="63">
        <f ca="1">B24*20</f>
        <v>67.002198487927259</v>
      </c>
      <c r="E25" s="110">
        <v>161</v>
      </c>
      <c r="F25" s="112">
        <f t="shared" si="1"/>
        <v>0.62446977532493753</v>
      </c>
      <c r="G25" s="49" t="s">
        <v>664</v>
      </c>
      <c r="H25" s="113">
        <f t="shared" si="0"/>
        <v>12.489395506498751</v>
      </c>
      <c r="J25" s="39" t="s">
        <v>222</v>
      </c>
    </row>
    <row r="26" spans="1:10" x14ac:dyDescent="0.25">
      <c r="E26" s="110">
        <v>168</v>
      </c>
      <c r="F26" s="112">
        <f t="shared" si="1"/>
        <v>0.64171294878145202</v>
      </c>
      <c r="G26" s="49" t="s">
        <v>665</v>
      </c>
      <c r="H26" s="113">
        <f t="shared" si="0"/>
        <v>12.834258975629041</v>
      </c>
      <c r="J26" s="39" t="s">
        <v>223</v>
      </c>
    </row>
    <row r="27" spans="1:10" x14ac:dyDescent="0.25">
      <c r="E27" s="110">
        <v>175</v>
      </c>
      <c r="F27" s="112">
        <f t="shared" si="1"/>
        <v>0.65869931776506041</v>
      </c>
      <c r="G27" s="49" t="s">
        <v>666</v>
      </c>
      <c r="H27" s="113">
        <f t="shared" si="0"/>
        <v>13.173986355301208</v>
      </c>
      <c r="J27" s="39" t="s">
        <v>224</v>
      </c>
    </row>
    <row r="28" spans="1:10" x14ac:dyDescent="0.25">
      <c r="E28" s="110">
        <v>182</v>
      </c>
      <c r="F28" s="112">
        <f t="shared" si="1"/>
        <v>0.6754427598356405</v>
      </c>
      <c r="G28" s="49" t="s">
        <v>667</v>
      </c>
      <c r="H28" s="113">
        <f t="shared" si="0"/>
        <v>13.50885519671281</v>
      </c>
      <c r="J28" s="39" t="s">
        <v>225</v>
      </c>
    </row>
    <row r="29" spans="1:10" x14ac:dyDescent="0.25">
      <c r="E29" s="110">
        <v>189</v>
      </c>
      <c r="F29" s="112">
        <f t="shared" si="1"/>
        <v>0.69195590067854806</v>
      </c>
      <c r="G29" s="49" t="s">
        <v>668</v>
      </c>
      <c r="H29" s="113">
        <f t="shared" si="0"/>
        <v>13.83911801357096</v>
      </c>
      <c r="J29" s="39" t="s">
        <v>226</v>
      </c>
    </row>
    <row r="30" spans="1:10" x14ac:dyDescent="0.25">
      <c r="E30" s="110">
        <v>196</v>
      </c>
      <c r="F30" s="112">
        <f t="shared" si="1"/>
        <v>0.70825026899523646</v>
      </c>
      <c r="G30" s="49" t="s">
        <v>669</v>
      </c>
      <c r="H30" s="113">
        <f t="shared" si="0"/>
        <v>14.165005379904729</v>
      </c>
      <c r="J30" s="39" t="s">
        <v>227</v>
      </c>
    </row>
    <row r="31" spans="1:10" x14ac:dyDescent="0.25">
      <c r="E31" s="110">
        <v>203</v>
      </c>
      <c r="F31" s="112">
        <f t="shared" si="1"/>
        <v>0.72433642740518545</v>
      </c>
      <c r="G31" s="49" t="s">
        <v>670</v>
      </c>
      <c r="H31" s="113">
        <f t="shared" si="0"/>
        <v>14.486728548103709</v>
      </c>
      <c r="J31" s="39" t="s">
        <v>228</v>
      </c>
    </row>
    <row r="32" spans="1:10" x14ac:dyDescent="0.25">
      <c r="E32" s="110">
        <v>210</v>
      </c>
      <c r="F32" s="112">
        <f t="shared" si="1"/>
        <v>0.74022408377053894</v>
      </c>
      <c r="G32" s="49" t="s">
        <v>671</v>
      </c>
      <c r="H32" s="113">
        <f t="shared" si="0"/>
        <v>14.804481675410779</v>
      </c>
      <c r="J32" s="39" t="s">
        <v>229</v>
      </c>
    </row>
    <row r="33" spans="5:10" x14ac:dyDescent="0.25">
      <c r="E33" s="110">
        <v>217</v>
      </c>
      <c r="F33" s="112">
        <f t="shared" si="1"/>
        <v>0.75592218642406095</v>
      </c>
      <c r="G33" s="49" t="s">
        <v>672</v>
      </c>
      <c r="H33" s="113">
        <f t="shared" si="0"/>
        <v>15.118443728481219</v>
      </c>
      <c r="J33" s="39" t="s">
        <v>230</v>
      </c>
    </row>
    <row r="34" spans="5:10" x14ac:dyDescent="0.25">
      <c r="E34" s="110">
        <v>224</v>
      </c>
      <c r="F34" s="112">
        <f t="shared" si="1"/>
        <v>0.77143900607023363</v>
      </c>
      <c r="G34" s="49" t="s">
        <v>673</v>
      </c>
      <c r="H34" s="113">
        <f t="shared" ref="H34:H51" si="2">F34*20</f>
        <v>15.428780121404673</v>
      </c>
      <c r="J34" s="39" t="s">
        <v>231</v>
      </c>
    </row>
    <row r="35" spans="5:10" x14ac:dyDescent="0.25">
      <c r="E35" s="110">
        <v>231</v>
      </c>
      <c r="F35" s="112">
        <f t="shared" si="1"/>
        <v>0.78678220658129916</v>
      </c>
      <c r="G35" s="49" t="s">
        <v>674</v>
      </c>
      <c r="H35" s="113">
        <f t="shared" si="2"/>
        <v>15.735644131625984</v>
      </c>
      <c r="J35" s="39" t="s">
        <v>232</v>
      </c>
    </row>
    <row r="36" spans="5:10" x14ac:dyDescent="0.25">
      <c r="E36" s="110">
        <v>238</v>
      </c>
      <c r="F36" s="112">
        <f>E36^$C$11/E$50^$C$11</f>
        <v>0.8019589064837378</v>
      </c>
      <c r="G36" s="49" t="s">
        <v>675</v>
      </c>
      <c r="H36" s="113">
        <f t="shared" si="2"/>
        <v>16.039178129674756</v>
      </c>
      <c r="J36" s="39" t="s">
        <v>233</v>
      </c>
    </row>
    <row r="37" spans="5:10" x14ac:dyDescent="0.25">
      <c r="E37" s="110">
        <v>245</v>
      </c>
      <c r="F37" s="112">
        <f t="shared" si="1"/>
        <v>0.81697573259626566</v>
      </c>
      <c r="G37" s="49" t="s">
        <v>676</v>
      </c>
      <c r="H37" s="113">
        <f t="shared" si="2"/>
        <v>16.339514651925313</v>
      </c>
      <c r="J37" s="39" t="s">
        <v>234</v>
      </c>
    </row>
    <row r="38" spans="5:10" x14ac:dyDescent="0.25">
      <c r="E38" s="110">
        <v>252</v>
      </c>
      <c r="F38" s="112">
        <f t="shared" si="1"/>
        <v>0.83183886701605136</v>
      </c>
      <c r="G38" s="49" t="s">
        <v>677</v>
      </c>
      <c r="H38" s="113">
        <f t="shared" si="2"/>
        <v>16.636777340321029</v>
      </c>
      <c r="J38" s="39" t="s">
        <v>235</v>
      </c>
    </row>
    <row r="39" spans="5:10" x14ac:dyDescent="0.25">
      <c r="E39" s="110">
        <v>259</v>
      </c>
      <c r="F39" s="112">
        <f t="shared" si="1"/>
        <v>0.84655408843930868</v>
      </c>
      <c r="G39" s="49" t="s">
        <v>678</v>
      </c>
      <c r="H39" s="113">
        <f t="shared" si="2"/>
        <v>16.931081768786175</v>
      </c>
      <c r="J39" s="39" t="s">
        <v>236</v>
      </c>
    </row>
    <row r="40" spans="5:10" x14ac:dyDescent="0.25">
      <c r="E40" s="110">
        <v>266</v>
      </c>
      <c r="F40" s="112">
        <f t="shared" si="1"/>
        <v>0.86112680863359892</v>
      </c>
      <c r="G40" s="49" t="s">
        <v>679</v>
      </c>
      <c r="H40" s="113">
        <f t="shared" si="2"/>
        <v>17.22253617267198</v>
      </c>
      <c r="J40" s="39" t="s">
        <v>237</v>
      </c>
    </row>
    <row r="41" spans="5:10" x14ac:dyDescent="0.25">
      <c r="E41" s="110">
        <v>273</v>
      </c>
      <c r="F41" s="112">
        <f t="shared" si="1"/>
        <v>0.87556210474292062</v>
      </c>
      <c r="G41" s="49" t="s">
        <v>680</v>
      </c>
      <c r="H41" s="113">
        <f t="shared" si="2"/>
        <v>17.511242094858414</v>
      </c>
      <c r="J41" s="39" t="s">
        <v>238</v>
      </c>
    </row>
    <row r="42" spans="5:10" x14ac:dyDescent="0.25">
      <c r="E42" s="110">
        <v>280</v>
      </c>
      <c r="F42" s="112">
        <f t="shared" si="1"/>
        <v>0.88986474799602622</v>
      </c>
      <c r="G42" s="49" t="s">
        <v>681</v>
      </c>
      <c r="H42" s="113">
        <f t="shared" si="2"/>
        <v>17.797294959920524</v>
      </c>
      <c r="J42" s="39" t="s">
        <v>239</v>
      </c>
    </row>
    <row r="43" spans="5:10" x14ac:dyDescent="0.25">
      <c r="E43" s="110">
        <v>287</v>
      </c>
      <c r="F43" s="112">
        <f t="shared" si="1"/>
        <v>0.90403922929805736</v>
      </c>
      <c r="G43" s="49" t="s">
        <v>681</v>
      </c>
      <c r="H43" s="113">
        <f t="shared" si="2"/>
        <v>18.080784585961148</v>
      </c>
      <c r="J43" s="39" t="s">
        <v>240</v>
      </c>
    </row>
    <row r="44" spans="5:10" x14ac:dyDescent="0.25">
      <c r="E44" s="110">
        <v>294</v>
      </c>
      <c r="F44" s="112">
        <f t="shared" si="1"/>
        <v>0.91808978211137449</v>
      </c>
      <c r="G44" s="49" t="s">
        <v>682</v>
      </c>
      <c r="H44" s="113">
        <f t="shared" si="2"/>
        <v>18.361795642227491</v>
      </c>
      <c r="J44" s="39" t="s">
        <v>241</v>
      </c>
    </row>
    <row r="45" spans="5:10" x14ac:dyDescent="0.25">
      <c r="E45" s="110">
        <v>301</v>
      </c>
      <c r="F45" s="112">
        <f t="shared" si="1"/>
        <v>0.93202040297026145</v>
      </c>
      <c r="G45" s="49" t="s">
        <v>683</v>
      </c>
      <c r="H45" s="113">
        <f t="shared" si="2"/>
        <v>18.640408059405228</v>
      </c>
      <c r="J45" s="39" t="s">
        <v>242</v>
      </c>
    </row>
    <row r="46" spans="5:10" x14ac:dyDescent="0.25">
      <c r="E46" s="110">
        <v>308</v>
      </c>
      <c r="F46" s="112">
        <f t="shared" si="1"/>
        <v>0.94583486992333232</v>
      </c>
      <c r="G46" s="49" t="s">
        <v>684</v>
      </c>
      <c r="H46" s="113">
        <f t="shared" si="2"/>
        <v>18.916697398466646</v>
      </c>
      <c r="J46" s="39" t="s">
        <v>243</v>
      </c>
    </row>
    <row r="47" spans="5:10" x14ac:dyDescent="0.25">
      <c r="E47" s="110">
        <v>315</v>
      </c>
      <c r="F47" s="112">
        <f t="shared" si="1"/>
        <v>0.95953675915519743</v>
      </c>
      <c r="G47" s="49" t="s">
        <v>685</v>
      </c>
      <c r="H47" s="113">
        <f t="shared" si="2"/>
        <v>19.19073518310395</v>
      </c>
      <c r="J47" s="39" t="s">
        <v>244</v>
      </c>
    </row>
    <row r="48" spans="5:10" x14ac:dyDescent="0.25">
      <c r="E48" s="110">
        <v>322</v>
      </c>
      <c r="F48" s="112">
        <f t="shared" si="1"/>
        <v>0.97312946000348366</v>
      </c>
      <c r="G48" s="49" t="s">
        <v>686</v>
      </c>
      <c r="H48" s="113">
        <f t="shared" si="2"/>
        <v>19.462589200069672</v>
      </c>
      <c r="J48" s="39" t="s">
        <v>245</v>
      </c>
    </row>
    <row r="49" spans="5:10" x14ac:dyDescent="0.25">
      <c r="E49" s="110">
        <v>329</v>
      </c>
      <c r="F49" s="112">
        <f t="shared" si="1"/>
        <v>0.98661618855753441</v>
      </c>
      <c r="G49" s="49" t="s">
        <v>686</v>
      </c>
      <c r="H49" s="113">
        <f t="shared" si="2"/>
        <v>19.732323771150689</v>
      </c>
      <c r="J49" s="39" t="s">
        <v>246</v>
      </c>
    </row>
    <row r="50" spans="5:10" x14ac:dyDescent="0.25">
      <c r="E50" s="110">
        <v>336</v>
      </c>
      <c r="F50" s="112">
        <f>E50^$C$11/E$50^$C$11</f>
        <v>1</v>
      </c>
      <c r="G50" s="49" t="s">
        <v>687</v>
      </c>
      <c r="H50" s="113">
        <f t="shared" si="2"/>
        <v>20</v>
      </c>
      <c r="J50" s="39" t="s">
        <v>247</v>
      </c>
    </row>
    <row r="51" spans="5:10" x14ac:dyDescent="0.25">
      <c r="E51" s="110" t="s">
        <v>649</v>
      </c>
      <c r="F51" s="112">
        <v>1</v>
      </c>
      <c r="G51" s="49" t="s">
        <v>687</v>
      </c>
      <c r="H51" s="113">
        <f t="shared" si="2"/>
        <v>20</v>
      </c>
      <c r="J51" s="39" t="s">
        <v>248</v>
      </c>
    </row>
    <row r="52" spans="5:10" x14ac:dyDescent="0.25">
      <c r="J52" s="39" t="s">
        <v>249</v>
      </c>
    </row>
    <row r="53" spans="5:10" x14ac:dyDescent="0.25">
      <c r="J53" s="39" t="s">
        <v>250</v>
      </c>
    </row>
    <row r="54" spans="5:10" x14ac:dyDescent="0.25">
      <c r="J54" s="39" t="s">
        <v>251</v>
      </c>
    </row>
    <row r="55" spans="5:10" x14ac:dyDescent="0.25">
      <c r="J55" s="39" t="s">
        <v>252</v>
      </c>
    </row>
    <row r="56" spans="5:10" x14ac:dyDescent="0.25">
      <c r="J56" s="39" t="s">
        <v>253</v>
      </c>
    </row>
    <row r="57" spans="5:10" x14ac:dyDescent="0.25">
      <c r="J57" s="39" t="s">
        <v>254</v>
      </c>
    </row>
    <row r="58" spans="5:10" x14ac:dyDescent="0.25">
      <c r="J58" s="39" t="s">
        <v>255</v>
      </c>
    </row>
    <row r="59" spans="5:10" x14ac:dyDescent="0.25">
      <c r="J59" s="39" t="s">
        <v>256</v>
      </c>
    </row>
    <row r="60" spans="5:10" x14ac:dyDescent="0.25">
      <c r="J60" s="39" t="s">
        <v>257</v>
      </c>
    </row>
    <row r="61" spans="5:10" x14ac:dyDescent="0.25">
      <c r="J61" s="39" t="s">
        <v>258</v>
      </c>
    </row>
    <row r="62" spans="5:10" x14ac:dyDescent="0.25">
      <c r="J62" s="39" t="s">
        <v>259</v>
      </c>
    </row>
    <row r="63" spans="5:10" x14ac:dyDescent="0.25">
      <c r="J63" s="39" t="s">
        <v>260</v>
      </c>
    </row>
    <row r="64" spans="5:10" x14ac:dyDescent="0.25">
      <c r="J64" s="39" t="s">
        <v>261</v>
      </c>
    </row>
    <row r="65" spans="10:10" x14ac:dyDescent="0.25">
      <c r="J65" s="39" t="s">
        <v>262</v>
      </c>
    </row>
    <row r="66" spans="10:10" x14ac:dyDescent="0.25">
      <c r="J66" s="39" t="s">
        <v>263</v>
      </c>
    </row>
    <row r="67" spans="10:10" x14ac:dyDescent="0.25">
      <c r="J67" s="39" t="s">
        <v>264</v>
      </c>
    </row>
    <row r="68" spans="10:10" x14ac:dyDescent="0.25">
      <c r="J68" s="39" t="s">
        <v>265</v>
      </c>
    </row>
    <row r="69" spans="10:10" x14ac:dyDescent="0.25">
      <c r="J69" s="39" t="s">
        <v>266</v>
      </c>
    </row>
    <row r="70" spans="10:10" x14ac:dyDescent="0.25">
      <c r="J70" s="39" t="s">
        <v>267</v>
      </c>
    </row>
    <row r="71" spans="10:10" x14ac:dyDescent="0.25">
      <c r="J71" s="39" t="s">
        <v>268</v>
      </c>
    </row>
    <row r="72" spans="10:10" x14ac:dyDescent="0.25">
      <c r="J72" s="39" t="s">
        <v>269</v>
      </c>
    </row>
    <row r="73" spans="10:10" x14ac:dyDescent="0.25">
      <c r="J73" s="39" t="s">
        <v>270</v>
      </c>
    </row>
    <row r="74" spans="10:10" x14ac:dyDescent="0.25">
      <c r="J74" s="39" t="s">
        <v>271</v>
      </c>
    </row>
    <row r="75" spans="10:10" x14ac:dyDescent="0.25">
      <c r="J75" s="39" t="s">
        <v>272</v>
      </c>
    </row>
    <row r="76" spans="10:10" x14ac:dyDescent="0.25">
      <c r="J76" s="39" t="s">
        <v>273</v>
      </c>
    </row>
    <row r="77" spans="10:10" x14ac:dyDescent="0.25">
      <c r="J77" s="39" t="s">
        <v>274</v>
      </c>
    </row>
    <row r="78" spans="10:10" x14ac:dyDescent="0.25">
      <c r="J78" s="39" t="s">
        <v>275</v>
      </c>
    </row>
    <row r="79" spans="10:10" x14ac:dyDescent="0.25">
      <c r="J79" s="39" t="s">
        <v>276</v>
      </c>
    </row>
    <row r="80" spans="10:10" x14ac:dyDescent="0.25">
      <c r="J80" s="39" t="s">
        <v>277</v>
      </c>
    </row>
    <row r="81" spans="10:10" x14ac:dyDescent="0.25">
      <c r="J81" s="39" t="s">
        <v>278</v>
      </c>
    </row>
  </sheetData>
  <mergeCells count="1">
    <mergeCell ref="A2:D2"/>
  </mergeCells>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K36"/>
  <sheetViews>
    <sheetView tabSelected="1" topLeftCell="A7" workbookViewId="0">
      <selection activeCell="G28" sqref="G28"/>
    </sheetView>
  </sheetViews>
  <sheetFormatPr baseColWidth="10" defaultColWidth="11.42578125" defaultRowHeight="15" x14ac:dyDescent="0.25"/>
  <sheetData>
    <row r="1" spans="1:11" x14ac:dyDescent="0.25">
      <c r="A1" s="2" t="s">
        <v>302</v>
      </c>
      <c r="K1" t="s">
        <v>861</v>
      </c>
    </row>
    <row r="2" spans="1:11" x14ac:dyDescent="0.25">
      <c r="A2" s="1"/>
    </row>
    <row r="3" spans="1:11" x14ac:dyDescent="0.25">
      <c r="A3" s="53" t="s">
        <v>303</v>
      </c>
      <c r="K3" t="s">
        <v>862</v>
      </c>
    </row>
    <row r="4" spans="1:11" x14ac:dyDescent="0.25">
      <c r="A4" s="53" t="s">
        <v>304</v>
      </c>
    </row>
    <row r="5" spans="1:11" x14ac:dyDescent="0.25">
      <c r="A5" s="53" t="s">
        <v>305</v>
      </c>
      <c r="E5" t="s">
        <v>863</v>
      </c>
    </row>
    <row r="6" spans="1:11" x14ac:dyDescent="0.25">
      <c r="A6" s="53" t="s">
        <v>306</v>
      </c>
    </row>
    <row r="7" spans="1:11" x14ac:dyDescent="0.25">
      <c r="A7" s="53" t="s">
        <v>307</v>
      </c>
    </row>
    <row r="11" spans="1:11" x14ac:dyDescent="0.25">
      <c r="A11" t="s">
        <v>308</v>
      </c>
    </row>
    <row r="12" spans="1:11" x14ac:dyDescent="0.25">
      <c r="A12" t="s">
        <v>309</v>
      </c>
    </row>
    <row r="13" spans="1:11" x14ac:dyDescent="0.25">
      <c r="A13" s="39" t="s">
        <v>310</v>
      </c>
      <c r="H13" s="370" t="s">
        <v>1390</v>
      </c>
    </row>
    <row r="14" spans="1:11" x14ac:dyDescent="0.25">
      <c r="A14" s="39" t="s">
        <v>311</v>
      </c>
      <c r="H14" s="293" t="s">
        <v>1391</v>
      </c>
    </row>
    <row r="15" spans="1:11" x14ac:dyDescent="0.25">
      <c r="A15" s="39" t="s">
        <v>312</v>
      </c>
      <c r="F15" t="s">
        <v>873</v>
      </c>
      <c r="H15" s="293" t="s">
        <v>1392</v>
      </c>
    </row>
    <row r="16" spans="1:11" x14ac:dyDescent="0.25">
      <c r="A16" s="39" t="s">
        <v>313</v>
      </c>
      <c r="F16" t="s">
        <v>874</v>
      </c>
      <c r="H16" s="293" t="s">
        <v>1393</v>
      </c>
    </row>
    <row r="17" spans="1:8" x14ac:dyDescent="0.25">
      <c r="A17" s="39" t="s">
        <v>314</v>
      </c>
      <c r="F17" t="s">
        <v>875</v>
      </c>
      <c r="H17" s="293" t="s">
        <v>1394</v>
      </c>
    </row>
    <row r="18" spans="1:8" x14ac:dyDescent="0.25">
      <c r="A18" s="39" t="s">
        <v>315</v>
      </c>
      <c r="F18" t="s">
        <v>876</v>
      </c>
      <c r="H18" s="293" t="s">
        <v>1395</v>
      </c>
    </row>
    <row r="19" spans="1:8" x14ac:dyDescent="0.25">
      <c r="A19" s="39" t="s">
        <v>316</v>
      </c>
      <c r="F19" t="s">
        <v>877</v>
      </c>
      <c r="H19" s="293" t="s">
        <v>1396</v>
      </c>
    </row>
    <row r="20" spans="1:8" x14ac:dyDescent="0.25">
      <c r="A20" s="39" t="s">
        <v>317</v>
      </c>
      <c r="F20" t="s">
        <v>878</v>
      </c>
      <c r="H20" s="293" t="s">
        <v>1397</v>
      </c>
    </row>
    <row r="21" spans="1:8" x14ac:dyDescent="0.25">
      <c r="H21" s="293" t="s">
        <v>1398</v>
      </c>
    </row>
    <row r="23" spans="1:8" x14ac:dyDescent="0.25">
      <c r="A23" t="s">
        <v>318</v>
      </c>
    </row>
    <row r="24" spans="1:8" x14ac:dyDescent="0.25">
      <c r="A24" t="s">
        <v>319</v>
      </c>
    </row>
    <row r="25" spans="1:8" x14ac:dyDescent="0.25">
      <c r="A25" t="s">
        <v>320</v>
      </c>
    </row>
    <row r="26" spans="1:8" x14ac:dyDescent="0.25">
      <c r="A26" t="s">
        <v>321</v>
      </c>
    </row>
    <row r="27" spans="1:8" x14ac:dyDescent="0.25">
      <c r="A27" t="s">
        <v>322</v>
      </c>
    </row>
    <row r="28" spans="1:8" x14ac:dyDescent="0.25">
      <c r="A28" t="s">
        <v>323</v>
      </c>
    </row>
    <row r="29" spans="1:8" x14ac:dyDescent="0.25">
      <c r="A29" t="s">
        <v>324</v>
      </c>
    </row>
    <row r="31" spans="1:8" x14ac:dyDescent="0.25">
      <c r="A31" t="s">
        <v>325</v>
      </c>
    </row>
    <row r="32" spans="1:8" x14ac:dyDescent="0.25">
      <c r="A32" t="s">
        <v>326</v>
      </c>
    </row>
    <row r="34" spans="1:1" x14ac:dyDescent="0.25">
      <c r="A34" t="s">
        <v>327</v>
      </c>
    </row>
    <row r="35" spans="1:1" x14ac:dyDescent="0.25">
      <c r="A35" t="s">
        <v>328</v>
      </c>
    </row>
    <row r="36" spans="1:1" x14ac:dyDescent="0.25">
      <c r="A36" t="s">
        <v>329</v>
      </c>
    </row>
  </sheetData>
  <hyperlinks>
    <hyperlink ref="A3" r:id="rId1" tooltip="‭(11886114.168)‬" display="http://www77.hattrick.org/Forum/Read.aspx?t=11886114&amp;n=168&amp;v=0&amp;mr=0"/>
    <hyperlink ref="A4" r:id="rId2" tooltip="‭(11886114.176)‬" display="http://www77.hattrick.org/Forum/Read.aspx?t=11886114&amp;n=176&amp;v=0&amp;mr=0"/>
    <hyperlink ref="A5" r:id="rId3" tooltip="‭(11886114.200)‬" display="http://www77.hattrick.org/Forum/Read.aspx?t=11886114&amp;n=200&amp;v=0&amp;mr=0"/>
    <hyperlink ref="A6" r:id="rId4" tooltip="‭(11886114.145)‬" display="http://www77.hattrick.org/Forum/Read.aspx?t=11886114&amp;n=145&amp;v=0&amp;mr=0"/>
    <hyperlink ref="A7" r:id="rId5" tooltip="‭(11886114.198)‬" display="http://www77.hattrick.org/Forum/Read.aspx?t=11886114&amp;n=198&amp;v=0&amp;mr=0"/>
  </hyperlinks>
  <pageMargins left="0.7" right="0.7" top="0.75" bottom="0.75" header="0.3" footer="0.3"/>
  <pageSetup paperSize="9" orientation="portrait" r:id="rId6"/>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
  <sheetViews>
    <sheetView workbookViewId="0">
      <selection activeCell="A62" sqref="A62"/>
    </sheetView>
  </sheetViews>
  <sheetFormatPr baseColWidth="10" defaultColWidth="11.42578125" defaultRowHeight="15" x14ac:dyDescent="0.25"/>
  <cols>
    <col min="1" max="1" width="154.5703125" style="143" customWidth="1"/>
  </cols>
  <sheetData>
    <row r="1" spans="1:1" x14ac:dyDescent="0.25">
      <c r="A1" s="4" t="s">
        <v>743</v>
      </c>
    </row>
    <row r="2" spans="1:1" ht="45" x14ac:dyDescent="0.25">
      <c r="A2" s="143" t="s">
        <v>744</v>
      </c>
    </row>
    <row r="3" spans="1:1" x14ac:dyDescent="0.25">
      <c r="A3" s="143" t="s">
        <v>745</v>
      </c>
    </row>
    <row r="5" spans="1:1" x14ac:dyDescent="0.25">
      <c r="A5" s="4" t="s">
        <v>746</v>
      </c>
    </row>
    <row r="6" spans="1:1" ht="45" x14ac:dyDescent="0.25">
      <c r="A6" s="143" t="s">
        <v>747</v>
      </c>
    </row>
    <row r="7" spans="1:1" ht="30" x14ac:dyDescent="0.25">
      <c r="A7" s="143" t="s">
        <v>748</v>
      </c>
    </row>
    <row r="9" spans="1:1" x14ac:dyDescent="0.25">
      <c r="A9" s="4" t="s">
        <v>749</v>
      </c>
    </row>
    <row r="10" spans="1:1" ht="45" x14ac:dyDescent="0.25">
      <c r="A10" s="143" t="s">
        <v>750</v>
      </c>
    </row>
    <row r="12" spans="1:1" x14ac:dyDescent="0.25">
      <c r="A12" s="143" t="s">
        <v>751</v>
      </c>
    </row>
    <row r="13" spans="1:1" ht="30" x14ac:dyDescent="0.25">
      <c r="A13" s="143" t="s">
        <v>752</v>
      </c>
    </row>
    <row r="15" spans="1:1" x14ac:dyDescent="0.25">
      <c r="A15" s="143" t="s">
        <v>753</v>
      </c>
    </row>
    <row r="16" spans="1:1" ht="45" x14ac:dyDescent="0.25">
      <c r="A16" s="143" t="s">
        <v>754</v>
      </c>
    </row>
    <row r="19" spans="1:1" x14ac:dyDescent="0.25">
      <c r="A19" s="4" t="s">
        <v>755</v>
      </c>
    </row>
    <row r="20" spans="1:1" ht="60" x14ac:dyDescent="0.25">
      <c r="A20" s="143" t="s">
        <v>756</v>
      </c>
    </row>
    <row r="22" spans="1:1" x14ac:dyDescent="0.25">
      <c r="A22" s="18" t="s">
        <v>757</v>
      </c>
    </row>
    <row r="24" spans="1:1" x14ac:dyDescent="0.25">
      <c r="A24" s="4" t="s">
        <v>758</v>
      </c>
    </row>
    <row r="25" spans="1:1" x14ac:dyDescent="0.25">
      <c r="A25" s="143" t="s">
        <v>759</v>
      </c>
    </row>
    <row r="27" spans="1:1" x14ac:dyDescent="0.25">
      <c r="A27" s="143" t="s">
        <v>760</v>
      </c>
    </row>
    <row r="28" spans="1:1" x14ac:dyDescent="0.25">
      <c r="A28" s="143" t="s">
        <v>761</v>
      </c>
    </row>
    <row r="30" spans="1:1" ht="45" x14ac:dyDescent="0.25">
      <c r="A30" s="143" t="s">
        <v>762</v>
      </c>
    </row>
    <row r="32" spans="1:1" ht="45" x14ac:dyDescent="0.25">
      <c r="A32" s="143" t="s">
        <v>763</v>
      </c>
    </row>
    <row r="34" spans="1:1" ht="45" x14ac:dyDescent="0.25">
      <c r="A34" s="143" t="s">
        <v>764</v>
      </c>
    </row>
    <row r="36" spans="1:1" x14ac:dyDescent="0.25">
      <c r="A36" s="143" t="s">
        <v>765</v>
      </c>
    </row>
    <row r="37" spans="1:1" ht="90" x14ac:dyDescent="0.25">
      <c r="A37" s="143" t="s">
        <v>766</v>
      </c>
    </row>
    <row r="38" spans="1:1" ht="30" x14ac:dyDescent="0.25">
      <c r="A38" s="143" t="s">
        <v>767</v>
      </c>
    </row>
    <row r="40" spans="1:1" ht="45" x14ac:dyDescent="0.25">
      <c r="A40" s="143" t="s">
        <v>768</v>
      </c>
    </row>
    <row r="42" spans="1:1" x14ac:dyDescent="0.25">
      <c r="A42" s="143" t="s">
        <v>769</v>
      </c>
    </row>
    <row r="43" spans="1:1" ht="30" x14ac:dyDescent="0.25">
      <c r="A43" s="143" t="s">
        <v>770</v>
      </c>
    </row>
    <row r="44" spans="1:1" ht="75" x14ac:dyDescent="0.25">
      <c r="A44" s="143" t="s">
        <v>771</v>
      </c>
    </row>
    <row r="46" spans="1:1" ht="45" x14ac:dyDescent="0.25">
      <c r="A46" s="143" t="s">
        <v>772</v>
      </c>
    </row>
    <row r="48" spans="1:1" ht="30" x14ac:dyDescent="0.25">
      <c r="A48" s="143" t="s">
        <v>773</v>
      </c>
    </row>
    <row r="49" spans="1:1" ht="60" x14ac:dyDescent="0.25">
      <c r="A49" s="143" t="s">
        <v>774</v>
      </c>
    </row>
    <row r="50" spans="1:1" ht="60" x14ac:dyDescent="0.25">
      <c r="A50" s="143" t="s">
        <v>775</v>
      </c>
    </row>
    <row r="52" spans="1:1" x14ac:dyDescent="0.25">
      <c r="A52" s="143" t="s">
        <v>776</v>
      </c>
    </row>
    <row r="53" spans="1:1" ht="30" x14ac:dyDescent="0.25">
      <c r="A53" s="143" t="s">
        <v>777</v>
      </c>
    </row>
    <row r="54" spans="1:1" ht="60" x14ac:dyDescent="0.25">
      <c r="A54" s="143" t="s">
        <v>778</v>
      </c>
    </row>
    <row r="56" spans="1:1" x14ac:dyDescent="0.25">
      <c r="A56" s="18" t="s">
        <v>779</v>
      </c>
    </row>
    <row r="58" spans="1:1" x14ac:dyDescent="0.25">
      <c r="A58" s="4" t="s">
        <v>780</v>
      </c>
    </row>
    <row r="59" spans="1:1" ht="30" x14ac:dyDescent="0.25">
      <c r="A59" s="143" t="s">
        <v>781</v>
      </c>
    </row>
    <row r="61" spans="1:1" x14ac:dyDescent="0.25">
      <c r="A61" s="143" t="s">
        <v>782</v>
      </c>
    </row>
    <row r="62" spans="1:1" ht="75" x14ac:dyDescent="0.25">
      <c r="A62" s="143" t="s">
        <v>783</v>
      </c>
    </row>
    <row r="63" spans="1:1" x14ac:dyDescent="0.25">
      <c r="A63" s="143" t="s">
        <v>784</v>
      </c>
    </row>
    <row r="65" spans="1:1" x14ac:dyDescent="0.25">
      <c r="A65" s="143" t="s">
        <v>785</v>
      </c>
    </row>
    <row r="66" spans="1:1" ht="75" x14ac:dyDescent="0.25">
      <c r="A66" s="571" t="s">
        <v>786</v>
      </c>
    </row>
    <row r="67" spans="1:1" ht="30" x14ac:dyDescent="0.25">
      <c r="A67" s="143" t="s">
        <v>787</v>
      </c>
    </row>
    <row r="69" spans="1:1" x14ac:dyDescent="0.25">
      <c r="A69" s="18" t="s">
        <v>788</v>
      </c>
    </row>
    <row r="72" spans="1:1" ht="45" x14ac:dyDescent="0.25">
      <c r="A72" s="143" t="s">
        <v>789</v>
      </c>
    </row>
    <row r="74" spans="1:1" x14ac:dyDescent="0.25">
      <c r="A74" s="4" t="s">
        <v>790</v>
      </c>
    </row>
    <row r="75" spans="1:1" x14ac:dyDescent="0.25">
      <c r="A75" s="18" t="s">
        <v>791</v>
      </c>
    </row>
    <row r="76" spans="1:1" x14ac:dyDescent="0.25">
      <c r="A76" s="18" t="s">
        <v>792</v>
      </c>
    </row>
    <row r="77" spans="1:1" x14ac:dyDescent="0.25">
      <c r="A77" s="18" t="s">
        <v>793</v>
      </c>
    </row>
    <row r="78" spans="1:1" x14ac:dyDescent="0.25">
      <c r="A78" s="18" t="s">
        <v>794</v>
      </c>
    </row>
    <row r="79" spans="1:1" x14ac:dyDescent="0.25">
      <c r="A79" s="18" t="s">
        <v>795</v>
      </c>
    </row>
    <row r="80" spans="1:1" x14ac:dyDescent="0.25">
      <c r="A80" s="18" t="s">
        <v>796</v>
      </c>
    </row>
    <row r="85" spans="1:1" x14ac:dyDescent="0.25">
      <c r="A85" s="144" t="s">
        <v>797</v>
      </c>
    </row>
    <row r="86" spans="1:1" x14ac:dyDescent="0.25">
      <c r="A86" s="144"/>
    </row>
    <row r="87" spans="1:1" x14ac:dyDescent="0.25">
      <c r="A87" s="144" t="s">
        <v>785</v>
      </c>
    </row>
    <row r="88" spans="1:1" ht="75" x14ac:dyDescent="0.25">
      <c r="A88" s="144" t="s">
        <v>786</v>
      </c>
    </row>
    <row r="89" spans="1:1" ht="30" x14ac:dyDescent="0.25">
      <c r="A89" s="144" t="s">
        <v>787</v>
      </c>
    </row>
    <row r="94" spans="1:1" ht="45" x14ac:dyDescent="0.25">
      <c r="A94" s="143" t="s">
        <v>798</v>
      </c>
    </row>
    <row r="96" spans="1:1" ht="45" x14ac:dyDescent="0.25">
      <c r="A96" s="143" t="s">
        <v>799</v>
      </c>
    </row>
    <row r="98" spans="1:1" ht="60" x14ac:dyDescent="0.25">
      <c r="A98" s="143" t="s">
        <v>800</v>
      </c>
    </row>
    <row r="100" spans="1:1" ht="30" x14ac:dyDescent="0.25">
      <c r="A100" s="143" t="s">
        <v>801</v>
      </c>
    </row>
  </sheetData>
  <hyperlinks>
    <hyperlink ref="A22" r:id="rId1" tooltip="‭(14286771.15)‬" display="http://www78.hattrick.org/Forum/Read.aspx?t=14286771&amp;n=15&amp;v=0&amp;mr=0"/>
    <hyperlink ref="A56" r:id="rId2" tooltip="‭(14286771.17)‬" display="http://www78.hattrick.org/Forum/Read.aspx?t=14286771&amp;n=17&amp;v=0&amp;mr=0"/>
    <hyperlink ref="A69" r:id="rId3" tooltip="‭(14286771.20)‬" display="http://www78.hattrick.org/Forum/Read.aspx?t=14286771&amp;n=20&amp;v=0&amp;mr=0"/>
    <hyperlink ref="A75" r:id="rId4" tooltip="‭(14286771.15)‬" display="http://www78.hattrick.org/Forum/Read.aspx?t=14286771&amp;n=15&amp;v=0&amp;mr=0"/>
    <hyperlink ref="A76" r:id="rId5" tooltip="‭(14286771.16)‬" display="http://www78.hattrick.org/Forum/Read.aspx?t=14286771&amp;n=16&amp;v=0&amp;mr=0"/>
    <hyperlink ref="A77" r:id="rId6" tooltip="‭(14286771.19)‬" display="http://www78.hattrick.org/Forum/Read.aspx?t=14286771&amp;n=19&amp;v=0&amp;mr=0"/>
    <hyperlink ref="A78" r:id="rId7" tooltip="‭(14286771.21)‬" display="http://www78.hattrick.org/Forum/Read.aspx?t=14286771&amp;n=21&amp;v=0&amp;mr=0"/>
    <hyperlink ref="A79" r:id="rId8" tooltip="‭(14286771.22)‬" display="http://www78.hattrick.org/Forum/Read.aspx?t=14286771&amp;n=22&amp;v=0&amp;mr=0"/>
    <hyperlink ref="A80" r:id="rId9" tooltip="‭(14286771.23)‬" display="http://www78.hattrick.org/Forum/Read.aspx?t=14286771&amp;n=23&amp;v=0&amp;mr=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workbookViewId="0">
      <selection activeCell="A24" sqref="A24"/>
    </sheetView>
  </sheetViews>
  <sheetFormatPr baseColWidth="10" defaultColWidth="11.42578125" defaultRowHeight="15" x14ac:dyDescent="0.25"/>
  <cols>
    <col min="1" max="1" width="9.140625" bestFit="1" customWidth="1"/>
    <col min="2" max="2" width="9" bestFit="1" customWidth="1"/>
    <col min="3" max="3" width="10.42578125" bestFit="1" customWidth="1"/>
    <col min="4" max="4" width="5.5703125" bestFit="1" customWidth="1"/>
    <col min="5" max="5" width="4" customWidth="1"/>
    <col min="6" max="6" width="9" bestFit="1" customWidth="1"/>
    <col min="7" max="7" width="10.42578125" bestFit="1" customWidth="1"/>
    <col min="8" max="8" width="4.140625" customWidth="1"/>
  </cols>
  <sheetData>
    <row r="1" spans="1:16" x14ac:dyDescent="0.25">
      <c r="A1" s="4" t="s">
        <v>823</v>
      </c>
      <c r="B1" s="4" t="s">
        <v>824</v>
      </c>
      <c r="C1" s="4" t="s">
        <v>825</v>
      </c>
      <c r="D1" s="4" t="s">
        <v>52</v>
      </c>
      <c r="F1" s="196" t="s">
        <v>828</v>
      </c>
      <c r="G1" s="196" t="s">
        <v>825</v>
      </c>
      <c r="I1" s="293" t="s">
        <v>1312</v>
      </c>
    </row>
    <row r="2" spans="1:16" x14ac:dyDescent="0.25">
      <c r="A2" s="4">
        <v>1</v>
      </c>
      <c r="B2" s="162">
        <v>332384</v>
      </c>
      <c r="C2" s="172">
        <v>0</v>
      </c>
      <c r="D2" s="173">
        <v>0</v>
      </c>
      <c r="F2" s="172" t="s">
        <v>844</v>
      </c>
      <c r="G2" s="172">
        <v>6</v>
      </c>
      <c r="I2" s="293" t="s">
        <v>1313</v>
      </c>
    </row>
    <row r="3" spans="1:16" x14ac:dyDescent="0.25">
      <c r="A3" s="4">
        <v>2</v>
      </c>
      <c r="B3" s="162">
        <v>212245</v>
      </c>
      <c r="C3" s="162">
        <v>42339</v>
      </c>
      <c r="D3" s="173">
        <v>0.2</v>
      </c>
      <c r="F3" s="172" t="s">
        <v>845</v>
      </c>
      <c r="G3" s="172">
        <v>30</v>
      </c>
      <c r="I3" s="293" t="s">
        <v>1314</v>
      </c>
    </row>
    <row r="4" spans="1:16" x14ac:dyDescent="0.25">
      <c r="A4" s="4">
        <v>3</v>
      </c>
      <c r="B4" s="162">
        <v>115796</v>
      </c>
      <c r="C4" s="162">
        <v>46298</v>
      </c>
      <c r="D4" s="173">
        <v>0.4</v>
      </c>
      <c r="F4" s="172" t="s">
        <v>846</v>
      </c>
      <c r="G4" s="172">
        <v>70</v>
      </c>
      <c r="I4" s="293" t="s">
        <v>1315</v>
      </c>
    </row>
    <row r="5" spans="1:16" x14ac:dyDescent="0.25">
      <c r="A5" s="4">
        <v>4</v>
      </c>
      <c r="B5" s="162">
        <v>48772</v>
      </c>
      <c r="C5" s="162">
        <v>29392</v>
      </c>
      <c r="D5" s="173">
        <v>0.6</v>
      </c>
      <c r="F5" s="172" t="s">
        <v>829</v>
      </c>
      <c r="G5" s="172">
        <v>87</v>
      </c>
    </row>
    <row r="6" spans="1:16" x14ac:dyDescent="0.25">
      <c r="A6" s="4">
        <v>5</v>
      </c>
      <c r="B6" s="162">
        <v>13977</v>
      </c>
      <c r="C6" s="162">
        <v>11174</v>
      </c>
      <c r="D6" s="173">
        <v>0.8</v>
      </c>
      <c r="F6" s="172" t="s">
        <v>830</v>
      </c>
      <c r="G6" s="172">
        <v>145</v>
      </c>
    </row>
    <row r="7" spans="1:16" x14ac:dyDescent="0.25">
      <c r="A7" s="4">
        <v>6</v>
      </c>
      <c r="B7" s="162">
        <v>2016</v>
      </c>
      <c r="C7" s="162">
        <v>2016</v>
      </c>
      <c r="D7" s="173">
        <v>1</v>
      </c>
      <c r="F7" s="172" t="s">
        <v>831</v>
      </c>
      <c r="G7" s="172">
        <v>177</v>
      </c>
    </row>
    <row r="8" spans="1:16" x14ac:dyDescent="0.25">
      <c r="F8" s="172" t="s">
        <v>832</v>
      </c>
      <c r="G8" s="172">
        <v>224</v>
      </c>
      <c r="J8" s="784" t="s">
        <v>1718</v>
      </c>
      <c r="K8" s="784"/>
      <c r="L8" s="784"/>
      <c r="M8" s="784"/>
      <c r="N8" s="784"/>
      <c r="O8" s="368" t="s">
        <v>690</v>
      </c>
      <c r="P8" s="368" t="s">
        <v>688</v>
      </c>
    </row>
    <row r="9" spans="1:16" x14ac:dyDescent="0.25">
      <c r="A9" t="s">
        <v>826</v>
      </c>
      <c r="F9" s="172" t="s">
        <v>833</v>
      </c>
      <c r="G9" s="172">
        <v>231</v>
      </c>
      <c r="J9" s="784" t="s">
        <v>471</v>
      </c>
      <c r="K9" s="320">
        <v>9.5</v>
      </c>
      <c r="L9" s="191">
        <v>9.75</v>
      </c>
      <c r="M9" s="320">
        <v>10.76</v>
      </c>
      <c r="N9" s="191">
        <v>11</v>
      </c>
      <c r="O9" s="400">
        <f>(N9-K9)/K9</f>
        <v>0.15789473684210525</v>
      </c>
      <c r="P9" s="51">
        <f>(M9-L9)/L9</f>
        <v>0.10358974358974357</v>
      </c>
    </row>
    <row r="10" spans="1:16" x14ac:dyDescent="0.25">
      <c r="F10" s="172" t="s">
        <v>834</v>
      </c>
      <c r="G10" s="172">
        <v>129</v>
      </c>
      <c r="J10" s="784"/>
      <c r="K10" s="320">
        <v>11</v>
      </c>
      <c r="L10" s="191">
        <v>11.25</v>
      </c>
      <c r="M10" s="320">
        <v>12.76</v>
      </c>
      <c r="N10" s="191">
        <v>13</v>
      </c>
      <c r="O10" s="51">
        <f t="shared" ref="O10:O14" si="0">(N10-K10)/K10</f>
        <v>0.18181818181818182</v>
      </c>
      <c r="P10" s="51">
        <f t="shared" ref="P10:P14" si="1">(M10-L10)/L10</f>
        <v>0.13422222222222221</v>
      </c>
    </row>
    <row r="11" spans="1:16" x14ac:dyDescent="0.25">
      <c r="F11" s="172" t="s">
        <v>835</v>
      </c>
      <c r="G11" s="172">
        <v>119</v>
      </c>
      <c r="J11" s="784"/>
      <c r="K11" s="320">
        <v>14</v>
      </c>
      <c r="L11" s="191">
        <v>14.25</v>
      </c>
      <c r="M11" s="320">
        <v>16.25</v>
      </c>
      <c r="N11" s="191">
        <v>16.5</v>
      </c>
      <c r="O11" s="51">
        <f t="shared" si="0"/>
        <v>0.17857142857142858</v>
      </c>
      <c r="P11" s="400">
        <f t="shared" si="1"/>
        <v>0.14035087719298245</v>
      </c>
    </row>
    <row r="12" spans="1:16" x14ac:dyDescent="0.25">
      <c r="F12" s="172" t="s">
        <v>836</v>
      </c>
      <c r="G12" s="172">
        <v>185</v>
      </c>
      <c r="J12" s="784" t="s">
        <v>1719</v>
      </c>
      <c r="K12" s="320">
        <v>9.76</v>
      </c>
      <c r="L12" s="191">
        <v>10</v>
      </c>
      <c r="M12" s="320">
        <v>6.75</v>
      </c>
      <c r="N12" s="191">
        <v>7</v>
      </c>
      <c r="O12" s="51">
        <f t="shared" si="0"/>
        <v>-0.28278688524590162</v>
      </c>
      <c r="P12" s="400">
        <f t="shared" si="1"/>
        <v>-0.32500000000000001</v>
      </c>
    </row>
    <row r="13" spans="1:16" x14ac:dyDescent="0.25">
      <c r="F13" s="172" t="s">
        <v>837</v>
      </c>
      <c r="G13" s="172">
        <v>162</v>
      </c>
      <c r="J13" s="784"/>
      <c r="K13" s="320">
        <v>3</v>
      </c>
      <c r="L13" s="191">
        <v>3.25</v>
      </c>
      <c r="M13" s="320">
        <v>2</v>
      </c>
      <c r="N13" s="191">
        <v>2.25</v>
      </c>
      <c r="O13" s="400">
        <f t="shared" si="0"/>
        <v>-0.25</v>
      </c>
      <c r="P13" s="51">
        <f t="shared" si="1"/>
        <v>-0.38461538461538464</v>
      </c>
    </row>
    <row r="14" spans="1:16" x14ac:dyDescent="0.25">
      <c r="A14" t="s">
        <v>827</v>
      </c>
      <c r="F14" s="172" t="s">
        <v>838</v>
      </c>
      <c r="G14" s="172">
        <v>141</v>
      </c>
      <c r="J14" s="784"/>
      <c r="K14" s="320">
        <v>11.25</v>
      </c>
      <c r="L14" s="191">
        <v>11.5</v>
      </c>
      <c r="M14" s="320">
        <v>7.75</v>
      </c>
      <c r="N14" s="191">
        <v>8</v>
      </c>
      <c r="O14" s="51">
        <f t="shared" si="0"/>
        <v>-0.28888888888888886</v>
      </c>
      <c r="P14" s="51">
        <f t="shared" si="1"/>
        <v>-0.32608695652173914</v>
      </c>
    </row>
    <row r="15" spans="1:16" x14ac:dyDescent="0.25">
      <c r="F15" s="172" t="s">
        <v>839</v>
      </c>
      <c r="G15" s="172">
        <v>208</v>
      </c>
    </row>
    <row r="16" spans="1:16" x14ac:dyDescent="0.25">
      <c r="F16" s="172" t="s">
        <v>840</v>
      </c>
      <c r="G16" s="172">
        <v>192</v>
      </c>
      <c r="J16">
        <v>4656918</v>
      </c>
    </row>
    <row r="17" spans="1:12" x14ac:dyDescent="0.25">
      <c r="F17" s="172" t="s">
        <v>841</v>
      </c>
      <c r="G17" s="172">
        <v>218</v>
      </c>
    </row>
    <row r="18" spans="1:12" x14ac:dyDescent="0.25">
      <c r="F18" s="172" t="s">
        <v>842</v>
      </c>
      <c r="G18" s="172">
        <v>219</v>
      </c>
      <c r="J18" t="s">
        <v>1720</v>
      </c>
      <c r="L18" s="117" t="s">
        <v>1721</v>
      </c>
    </row>
    <row r="19" spans="1:12" x14ac:dyDescent="0.25">
      <c r="F19" s="172" t="s">
        <v>843</v>
      </c>
      <c r="G19" s="172">
        <v>116</v>
      </c>
      <c r="L19" s="117" t="s">
        <v>1722</v>
      </c>
    </row>
    <row r="23" spans="1:12" x14ac:dyDescent="0.25">
      <c r="A23" t="s">
        <v>723</v>
      </c>
    </row>
    <row r="24" spans="1:12" x14ac:dyDescent="0.25">
      <c r="A24" t="s">
        <v>724</v>
      </c>
    </row>
  </sheetData>
  <mergeCells count="3">
    <mergeCell ref="J9:J11"/>
    <mergeCell ref="J8:N8"/>
    <mergeCell ref="J12:J14"/>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27"/>
  <sheetViews>
    <sheetView workbookViewId="0">
      <selection activeCell="A9" sqref="A9"/>
    </sheetView>
  </sheetViews>
  <sheetFormatPr baseColWidth="10" defaultColWidth="11.42578125" defaultRowHeight="15" x14ac:dyDescent="0.25"/>
  <cols>
    <col min="1" max="1" width="19.28515625" customWidth="1"/>
    <col min="2" max="2" width="6.140625" bestFit="1" customWidth="1"/>
    <col min="3" max="3" width="5.140625" bestFit="1" customWidth="1"/>
    <col min="4" max="4" width="11.28515625" bestFit="1" customWidth="1"/>
    <col min="5" max="5" width="9.42578125" bestFit="1" customWidth="1"/>
    <col min="6" max="6" width="13.85546875" style="442" bestFit="1" customWidth="1"/>
    <col min="7" max="7" width="17.140625" style="442" bestFit="1" customWidth="1"/>
    <col min="8" max="8" width="9.42578125" style="442" bestFit="1" customWidth="1"/>
    <col min="9" max="9" width="34.7109375" style="442" bestFit="1" customWidth="1"/>
    <col min="10" max="10" width="26.7109375" style="442" bestFit="1" customWidth="1"/>
    <col min="11" max="11" width="12" style="442" bestFit="1" customWidth="1"/>
    <col min="12" max="12" width="10.42578125" style="442" bestFit="1" customWidth="1"/>
    <col min="13" max="13" width="19" style="442" bestFit="1" customWidth="1"/>
    <col min="14" max="14" width="19" bestFit="1" customWidth="1"/>
  </cols>
  <sheetData>
    <row r="1" spans="1:15" s="6" customFormat="1" x14ac:dyDescent="0.25">
      <c r="A1" s="443" t="s">
        <v>720</v>
      </c>
      <c r="B1" s="443" t="s">
        <v>2575</v>
      </c>
      <c r="C1" s="443" t="s">
        <v>2576</v>
      </c>
      <c r="D1" s="443" t="s">
        <v>286</v>
      </c>
      <c r="E1" s="294" t="s">
        <v>85</v>
      </c>
      <c r="F1" s="444" t="s">
        <v>869</v>
      </c>
      <c r="G1" s="444" t="s">
        <v>1624</v>
      </c>
      <c r="H1" s="444" t="s">
        <v>1332</v>
      </c>
      <c r="I1" s="444" t="s">
        <v>1630</v>
      </c>
      <c r="J1" s="444" t="s">
        <v>1625</v>
      </c>
      <c r="K1" s="445" t="s">
        <v>1626</v>
      </c>
      <c r="L1" s="445" t="s">
        <v>1627</v>
      </c>
      <c r="M1" s="445" t="s">
        <v>1631</v>
      </c>
    </row>
    <row r="2" spans="1:15" x14ac:dyDescent="0.25">
      <c r="A2" t="s">
        <v>1628</v>
      </c>
      <c r="B2">
        <v>34</v>
      </c>
      <c r="C2">
        <v>37</v>
      </c>
      <c r="D2" t="s">
        <v>1629</v>
      </c>
      <c r="E2" s="442">
        <v>4</v>
      </c>
      <c r="F2" s="316">
        <v>1375000</v>
      </c>
      <c r="G2" s="316">
        <v>1500000</v>
      </c>
      <c r="H2" s="316">
        <v>20000</v>
      </c>
      <c r="I2" s="442">
        <f>1.5+2.5</f>
        <v>4</v>
      </c>
      <c r="J2" s="442">
        <f>1.5+2.5+2.5+2.5</f>
        <v>9</v>
      </c>
      <c r="K2" s="316">
        <f>F2+G2+(H2*1*16*0.6)</f>
        <v>3067000</v>
      </c>
      <c r="L2" s="316">
        <f t="shared" ref="L2:L8" si="0">K2/I2</f>
        <v>766750</v>
      </c>
      <c r="M2" s="225">
        <f t="shared" ref="M2:M8" si="1">K2/J2</f>
        <v>340777.77777777775</v>
      </c>
    </row>
    <row r="3" spans="1:15" x14ac:dyDescent="0.25">
      <c r="A3" t="s">
        <v>1632</v>
      </c>
      <c r="B3">
        <v>33</v>
      </c>
      <c r="C3">
        <v>16</v>
      </c>
      <c r="D3" t="s">
        <v>1629</v>
      </c>
      <c r="E3" s="442">
        <v>5</v>
      </c>
      <c r="F3" s="316">
        <v>3000000</v>
      </c>
      <c r="G3" s="316">
        <v>1500000</v>
      </c>
      <c r="H3" s="316">
        <v>33860</v>
      </c>
      <c r="I3" s="442">
        <f>1.5+2.5+2.5</f>
        <v>6.5</v>
      </c>
      <c r="J3" s="442">
        <f>1.5+2.5+2.5+2.5+2.5</f>
        <v>11.5</v>
      </c>
      <c r="K3" s="316">
        <f t="shared" ref="K3:K8" si="2">F3+G3+(H3*1*16*0.6)</f>
        <v>4825056</v>
      </c>
      <c r="L3" s="316">
        <f t="shared" si="0"/>
        <v>742316.30769230775</v>
      </c>
      <c r="M3" s="225">
        <f t="shared" si="1"/>
        <v>419570.08695652173</v>
      </c>
      <c r="O3" t="s">
        <v>1642</v>
      </c>
    </row>
    <row r="4" spans="1:15" x14ac:dyDescent="0.25">
      <c r="E4" s="442">
        <v>6</v>
      </c>
      <c r="F4" s="316">
        <v>1000000</v>
      </c>
      <c r="G4" s="316">
        <v>3000000</v>
      </c>
      <c r="H4" s="316">
        <v>1000</v>
      </c>
      <c r="I4" s="442">
        <f>1.5+2.5+2.5+2.5</f>
        <v>9</v>
      </c>
      <c r="J4" s="442">
        <f>1.5+2.5+2.5+2.5+2.5+2.5</f>
        <v>14</v>
      </c>
      <c r="K4" s="316">
        <f t="shared" si="2"/>
        <v>4009600</v>
      </c>
      <c r="L4" s="316">
        <f t="shared" si="0"/>
        <v>445511.11111111112</v>
      </c>
      <c r="M4" s="225">
        <f t="shared" si="1"/>
        <v>286400</v>
      </c>
      <c r="O4" t="s">
        <v>1643</v>
      </c>
    </row>
    <row r="5" spans="1:15" x14ac:dyDescent="0.25">
      <c r="E5" s="442">
        <v>4</v>
      </c>
      <c r="F5" s="316">
        <v>1375000</v>
      </c>
      <c r="G5" s="316">
        <v>1500000</v>
      </c>
      <c r="H5" s="316">
        <v>1000</v>
      </c>
      <c r="I5" s="442">
        <f>1.5+2.5</f>
        <v>4</v>
      </c>
      <c r="J5" s="442">
        <f>1.5+2.5+2.5+2.5</f>
        <v>9</v>
      </c>
      <c r="K5" s="316">
        <f t="shared" si="2"/>
        <v>2884600</v>
      </c>
      <c r="L5" s="316">
        <f t="shared" si="0"/>
        <v>721150</v>
      </c>
      <c r="M5" s="225">
        <f t="shared" si="1"/>
        <v>320511.11111111112</v>
      </c>
    </row>
    <row r="6" spans="1:15" x14ac:dyDescent="0.25">
      <c r="E6" s="442">
        <v>5</v>
      </c>
      <c r="F6" s="316">
        <v>3000000</v>
      </c>
      <c r="G6" s="316">
        <v>1500000</v>
      </c>
      <c r="H6" s="316">
        <v>1000</v>
      </c>
      <c r="I6" s="442">
        <f>1.5+2.5+2.5</f>
        <v>6.5</v>
      </c>
      <c r="J6" s="442">
        <f>1.5+2.5+2.5+2.5+2.5</f>
        <v>11.5</v>
      </c>
      <c r="K6" s="316">
        <f t="shared" si="2"/>
        <v>4509600</v>
      </c>
      <c r="L6" s="316">
        <f t="shared" si="0"/>
        <v>693784.61538461538</v>
      </c>
      <c r="M6" s="225">
        <f t="shared" si="1"/>
        <v>392139.13043478259</v>
      </c>
    </row>
    <row r="7" spans="1:15" x14ac:dyDescent="0.25">
      <c r="E7" s="442">
        <v>5</v>
      </c>
      <c r="F7" s="316">
        <v>450000</v>
      </c>
      <c r="G7" s="316">
        <v>2750000</v>
      </c>
      <c r="H7" s="316">
        <v>8420</v>
      </c>
      <c r="I7" s="442">
        <f>1.5+2.5+2.5</f>
        <v>6.5</v>
      </c>
      <c r="J7" s="442">
        <f>1.5+2.5+2.5+2.5+2.5</f>
        <v>11.5</v>
      </c>
      <c r="K7" s="316">
        <f t="shared" si="2"/>
        <v>3280832</v>
      </c>
      <c r="L7" s="316">
        <f t="shared" si="0"/>
        <v>504743.38461538462</v>
      </c>
      <c r="M7" s="225">
        <f t="shared" si="1"/>
        <v>285289.73913043475</v>
      </c>
    </row>
    <row r="8" spans="1:15" x14ac:dyDescent="0.25">
      <c r="E8" s="442">
        <v>6</v>
      </c>
      <c r="F8" s="316">
        <v>1100000</v>
      </c>
      <c r="G8" s="316">
        <v>2750000</v>
      </c>
      <c r="H8" s="316">
        <v>13000</v>
      </c>
      <c r="I8" s="442">
        <f>1.5+2.5+2.5+2.5</f>
        <v>9</v>
      </c>
      <c r="J8" s="442">
        <f>1.5+2.5+2.5+2.5+2.5+2.5</f>
        <v>14</v>
      </c>
      <c r="K8" s="316">
        <f t="shared" si="2"/>
        <v>3974800</v>
      </c>
      <c r="L8" s="316">
        <f t="shared" si="0"/>
        <v>441644.44444444444</v>
      </c>
      <c r="M8" s="225">
        <f t="shared" si="1"/>
        <v>283914.28571428574</v>
      </c>
    </row>
    <row r="9" spans="1:15" x14ac:dyDescent="0.25">
      <c r="G9" s="316"/>
      <c r="H9" s="316"/>
      <c r="I9" s="316"/>
      <c r="L9" s="316"/>
      <c r="M9" s="316"/>
      <c r="N9" s="225"/>
    </row>
    <row r="10" spans="1:15" x14ac:dyDescent="0.25">
      <c r="A10" s="2" t="s">
        <v>1641</v>
      </c>
      <c r="G10" s="316"/>
      <c r="H10" s="316"/>
      <c r="I10" s="316"/>
      <c r="L10" s="316"/>
      <c r="M10" s="316"/>
      <c r="N10" s="225"/>
    </row>
    <row r="11" spans="1:15" x14ac:dyDescent="0.25">
      <c r="A11" s="293" t="s">
        <v>1633</v>
      </c>
      <c r="G11" s="316"/>
      <c r="H11" s="316"/>
      <c r="I11" s="316"/>
      <c r="L11" s="316"/>
      <c r="M11" s="316"/>
      <c r="N11" s="225"/>
    </row>
    <row r="12" spans="1:15" x14ac:dyDescent="0.25">
      <c r="A12" s="293" t="s">
        <v>1634</v>
      </c>
      <c r="G12" s="316"/>
      <c r="H12" s="316"/>
      <c r="I12" s="316"/>
      <c r="L12" s="316"/>
      <c r="M12" s="316"/>
      <c r="N12" s="225"/>
    </row>
    <row r="13" spans="1:15" x14ac:dyDescent="0.25">
      <c r="A13" s="293" t="s">
        <v>1635</v>
      </c>
      <c r="G13" s="316"/>
      <c r="H13" s="316"/>
      <c r="I13" s="316"/>
      <c r="L13" s="316"/>
      <c r="M13" s="316"/>
      <c r="N13" s="225"/>
    </row>
    <row r="14" spans="1:15" x14ac:dyDescent="0.25">
      <c r="A14" s="293" t="s">
        <v>1636</v>
      </c>
      <c r="G14" s="316"/>
      <c r="H14" s="316"/>
      <c r="I14" s="316"/>
      <c r="L14" s="316"/>
      <c r="M14" s="316"/>
      <c r="N14" s="225"/>
    </row>
    <row r="15" spans="1:15" x14ac:dyDescent="0.25">
      <c r="G15" s="316"/>
      <c r="H15" s="316"/>
      <c r="I15" s="316"/>
      <c r="L15" s="316"/>
      <c r="M15" s="316"/>
      <c r="N15" s="225"/>
    </row>
    <row r="16" spans="1:15" x14ac:dyDescent="0.25">
      <c r="A16" s="293" t="s">
        <v>1637</v>
      </c>
      <c r="G16" s="316"/>
      <c r="H16" s="316"/>
      <c r="I16" s="316"/>
      <c r="L16" s="316"/>
      <c r="M16" s="316"/>
      <c r="N16" s="225"/>
    </row>
    <row r="17" spans="1:14" x14ac:dyDescent="0.25">
      <c r="A17" s="293" t="s">
        <v>1638</v>
      </c>
      <c r="G17" s="316"/>
      <c r="H17" s="316"/>
      <c r="I17" s="316"/>
      <c r="L17" s="316"/>
      <c r="M17" s="316"/>
      <c r="N17" s="225"/>
    </row>
    <row r="18" spans="1:14" x14ac:dyDescent="0.25">
      <c r="A18" s="293" t="s">
        <v>1639</v>
      </c>
      <c r="G18" s="316"/>
      <c r="H18" s="316"/>
      <c r="I18" s="316"/>
      <c r="L18" s="316"/>
      <c r="M18" s="316"/>
      <c r="N18" s="225"/>
    </row>
    <row r="19" spans="1:14" x14ac:dyDescent="0.25">
      <c r="A19" s="293" t="s">
        <v>1640</v>
      </c>
      <c r="G19" s="316"/>
      <c r="H19" s="316"/>
      <c r="I19" s="316"/>
      <c r="L19" s="316"/>
      <c r="M19" s="316"/>
      <c r="N19" s="225"/>
    </row>
    <row r="20" spans="1:14" x14ac:dyDescent="0.25">
      <c r="A20" s="293"/>
      <c r="G20" s="316"/>
      <c r="H20" s="316"/>
      <c r="I20" s="316"/>
      <c r="L20" s="316"/>
      <c r="M20" s="316"/>
      <c r="N20" s="225"/>
    </row>
    <row r="21" spans="1:14" x14ac:dyDescent="0.25">
      <c r="A21" s="293" t="s">
        <v>1648</v>
      </c>
      <c r="G21" s="316"/>
      <c r="H21" s="316"/>
      <c r="I21" s="316"/>
      <c r="L21" s="316"/>
      <c r="M21" s="316"/>
      <c r="N21" s="225"/>
    </row>
    <row r="22" spans="1:14" x14ac:dyDescent="0.25">
      <c r="A22" s="293" t="s">
        <v>1644</v>
      </c>
      <c r="G22" s="316"/>
      <c r="H22" s="316"/>
      <c r="I22" s="316"/>
      <c r="L22" s="316"/>
      <c r="M22" s="316"/>
      <c r="N22" s="225"/>
    </row>
    <row r="23" spans="1:14" x14ac:dyDescent="0.25">
      <c r="A23" s="293" t="s">
        <v>1645</v>
      </c>
      <c r="G23" s="316"/>
      <c r="H23" s="316"/>
      <c r="I23" s="316"/>
      <c r="L23" s="316"/>
      <c r="M23" s="316"/>
      <c r="N23" s="225"/>
    </row>
    <row r="24" spans="1:14" x14ac:dyDescent="0.25">
      <c r="G24" s="316"/>
      <c r="H24" s="316"/>
      <c r="I24" s="316"/>
      <c r="L24" s="316"/>
      <c r="M24" s="316"/>
      <c r="N24" s="225"/>
    </row>
    <row r="25" spans="1:14" x14ac:dyDescent="0.25">
      <c r="A25" s="293" t="s">
        <v>1646</v>
      </c>
      <c r="G25" s="316"/>
      <c r="H25" s="316"/>
      <c r="I25" s="316"/>
      <c r="L25" s="316"/>
      <c r="M25" s="316"/>
      <c r="N25" s="225"/>
    </row>
    <row r="26" spans="1:14" x14ac:dyDescent="0.25">
      <c r="A26" s="293" t="s">
        <v>1647</v>
      </c>
      <c r="G26" s="316"/>
      <c r="H26" s="316"/>
      <c r="I26" s="316"/>
      <c r="L26" s="316"/>
      <c r="M26" s="316"/>
      <c r="N26" s="225"/>
    </row>
    <row r="27" spans="1:14" x14ac:dyDescent="0.25">
      <c r="G27" s="316"/>
      <c r="H27" s="316"/>
      <c r="I27" s="316"/>
      <c r="L27" s="316"/>
      <c r="M27" s="316"/>
      <c r="N27" s="225"/>
    </row>
  </sheetData>
  <pageMargins left="0.7" right="0.7" top="0.75" bottom="0.75" header="0.3" footer="0.3"/>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1:O104"/>
  <sheetViews>
    <sheetView topLeftCell="A10" zoomScaleNormal="100" workbookViewId="0">
      <selection activeCell="G21" sqref="G21"/>
    </sheetView>
  </sheetViews>
  <sheetFormatPr baseColWidth="10" defaultColWidth="11.42578125" defaultRowHeight="15" x14ac:dyDescent="0.25"/>
  <cols>
    <col min="1" max="1" width="1.42578125" customWidth="1"/>
    <col min="2" max="2" width="17.140625" bestFit="1" customWidth="1"/>
    <col min="3" max="4" width="17.7109375" bestFit="1" customWidth="1"/>
    <col min="5" max="5" width="20.85546875" bestFit="1" customWidth="1"/>
    <col min="13" max="13" width="13" bestFit="1" customWidth="1"/>
    <col min="15" max="15" width="14.5703125" bestFit="1" customWidth="1"/>
  </cols>
  <sheetData>
    <row r="1" spans="2:9" ht="9" customHeight="1" x14ac:dyDescent="0.25"/>
    <row r="2" spans="2:9" s="216" customFormat="1" ht="21" customHeight="1" x14ac:dyDescent="0.25">
      <c r="B2" s="787" t="s">
        <v>884</v>
      </c>
      <c r="C2" s="787"/>
      <c r="D2" s="787"/>
      <c r="E2" s="787"/>
      <c r="F2" t="s">
        <v>1040</v>
      </c>
      <c r="G2"/>
      <c r="H2"/>
      <c r="I2"/>
    </row>
    <row r="3" spans="2:9" x14ac:dyDescent="0.25">
      <c r="B3" s="785" t="s">
        <v>286</v>
      </c>
      <c r="C3" s="786" t="s">
        <v>885</v>
      </c>
      <c r="D3" s="786" t="s">
        <v>886</v>
      </c>
      <c r="E3" s="786" t="s">
        <v>887</v>
      </c>
      <c r="F3" t="s">
        <v>1041</v>
      </c>
    </row>
    <row r="4" spans="2:9" x14ac:dyDescent="0.25">
      <c r="B4" s="785"/>
      <c r="C4" s="786"/>
      <c r="D4" s="786"/>
      <c r="E4" s="786"/>
    </row>
    <row r="5" spans="2:9" s="216" customFormat="1" x14ac:dyDescent="0.25">
      <c r="B5" s="451" t="s">
        <v>885</v>
      </c>
      <c r="C5" s="313" t="s">
        <v>888</v>
      </c>
      <c r="D5" s="313" t="s">
        <v>889</v>
      </c>
      <c r="E5" s="313" t="s">
        <v>889</v>
      </c>
      <c r="F5" s="40" t="s">
        <v>1042</v>
      </c>
      <c r="G5"/>
      <c r="H5"/>
      <c r="I5"/>
    </row>
    <row r="6" spans="2:9" x14ac:dyDescent="0.25">
      <c r="B6" s="452" t="s">
        <v>886</v>
      </c>
      <c r="C6" s="314" t="s">
        <v>890</v>
      </c>
      <c r="D6" s="314" t="s">
        <v>891</v>
      </c>
      <c r="E6" s="314" t="s">
        <v>889</v>
      </c>
    </row>
    <row r="7" spans="2:9" s="216" customFormat="1" x14ac:dyDescent="0.25">
      <c r="B7" s="451" t="s">
        <v>887</v>
      </c>
      <c r="C7" s="313" t="s">
        <v>892</v>
      </c>
      <c r="D7" s="313" t="s">
        <v>893</v>
      </c>
      <c r="E7" s="313" t="s">
        <v>1692</v>
      </c>
      <c r="F7" t="s">
        <v>1043</v>
      </c>
      <c r="G7"/>
      <c r="H7"/>
      <c r="I7"/>
    </row>
    <row r="8" spans="2:9" x14ac:dyDescent="0.25">
      <c r="B8" s="452" t="s">
        <v>894</v>
      </c>
      <c r="C8" s="314" t="s">
        <v>895</v>
      </c>
      <c r="D8" s="314" t="s">
        <v>896</v>
      </c>
      <c r="E8" s="314" t="s">
        <v>897</v>
      </c>
      <c r="F8" t="s">
        <v>1044</v>
      </c>
    </row>
    <row r="9" spans="2:9" s="216" customFormat="1" x14ac:dyDescent="0.25">
      <c r="B9" s="451" t="s">
        <v>898</v>
      </c>
      <c r="C9" s="313" t="s">
        <v>899</v>
      </c>
      <c r="D9" s="313" t="s">
        <v>900</v>
      </c>
      <c r="E9" s="313" t="s">
        <v>901</v>
      </c>
      <c r="F9" t="s">
        <v>1045</v>
      </c>
      <c r="G9"/>
      <c r="H9"/>
      <c r="I9"/>
    </row>
    <row r="10" spans="2:9" x14ac:dyDescent="0.25">
      <c r="B10" s="452" t="s">
        <v>902</v>
      </c>
      <c r="C10" s="314" t="s">
        <v>903</v>
      </c>
      <c r="D10" s="314" t="s">
        <v>904</v>
      </c>
      <c r="E10" s="314" t="s">
        <v>905</v>
      </c>
      <c r="F10" t="s">
        <v>1046</v>
      </c>
    </row>
    <row r="11" spans="2:9" s="216" customFormat="1" x14ac:dyDescent="0.25">
      <c r="B11" s="451" t="s">
        <v>906</v>
      </c>
      <c r="C11" s="313" t="s">
        <v>907</v>
      </c>
      <c r="D11" s="313" t="s">
        <v>908</v>
      </c>
      <c r="E11" s="313" t="s">
        <v>909</v>
      </c>
      <c r="F11" t="s">
        <v>1047</v>
      </c>
      <c r="G11"/>
      <c r="H11"/>
      <c r="I11"/>
    </row>
    <row r="12" spans="2:9" x14ac:dyDescent="0.25">
      <c r="B12" s="452" t="s">
        <v>910</v>
      </c>
      <c r="C12" s="314" t="s">
        <v>911</v>
      </c>
      <c r="D12" s="314" t="s">
        <v>912</v>
      </c>
      <c r="E12" s="314" t="s">
        <v>913</v>
      </c>
      <c r="F12" t="s">
        <v>1048</v>
      </c>
    </row>
    <row r="13" spans="2:9" s="216" customFormat="1" x14ac:dyDescent="0.25">
      <c r="B13" s="451" t="s">
        <v>914</v>
      </c>
      <c r="C13" s="313" t="s">
        <v>915</v>
      </c>
      <c r="D13" s="313" t="s">
        <v>916</v>
      </c>
      <c r="E13" s="313" t="s">
        <v>917</v>
      </c>
      <c r="F13" t="s">
        <v>1049</v>
      </c>
      <c r="G13"/>
      <c r="H13"/>
      <c r="I13"/>
    </row>
    <row r="14" spans="2:9" x14ac:dyDescent="0.25">
      <c r="B14" s="452" t="s">
        <v>918</v>
      </c>
      <c r="C14" s="314" t="s">
        <v>919</v>
      </c>
      <c r="D14" s="314" t="s">
        <v>920</v>
      </c>
      <c r="E14" s="314" t="s">
        <v>921</v>
      </c>
    </row>
    <row r="15" spans="2:9" s="216" customFormat="1" x14ac:dyDescent="0.25">
      <c r="B15" s="451" t="s">
        <v>922</v>
      </c>
      <c r="C15" s="313" t="s">
        <v>923</v>
      </c>
      <c r="D15" s="313" t="s">
        <v>924</v>
      </c>
      <c r="E15" s="313" t="s">
        <v>925</v>
      </c>
      <c r="F15" t="s">
        <v>1050</v>
      </c>
      <c r="G15"/>
      <c r="H15"/>
      <c r="I15"/>
    </row>
    <row r="16" spans="2:9" x14ac:dyDescent="0.25">
      <c r="B16" s="452" t="s">
        <v>926</v>
      </c>
      <c r="C16" s="314" t="s">
        <v>927</v>
      </c>
      <c r="D16" s="314" t="s">
        <v>928</v>
      </c>
      <c r="E16" s="314" t="s">
        <v>929</v>
      </c>
      <c r="F16" t="s">
        <v>1051</v>
      </c>
    </row>
    <row r="17" spans="2:15" s="216" customFormat="1" x14ac:dyDescent="0.25">
      <c r="B17" s="451" t="s">
        <v>930</v>
      </c>
      <c r="C17" s="313" t="s">
        <v>931</v>
      </c>
      <c r="D17" s="313" t="s">
        <v>932</v>
      </c>
      <c r="E17" s="313" t="s">
        <v>933</v>
      </c>
      <c r="F17" t="s">
        <v>1052</v>
      </c>
      <c r="G17"/>
      <c r="H17"/>
      <c r="I17"/>
    </row>
    <row r="18" spans="2:15" x14ac:dyDescent="0.25">
      <c r="B18" s="452" t="s">
        <v>934</v>
      </c>
      <c r="C18" s="314" t="s">
        <v>935</v>
      </c>
      <c r="D18" s="314" t="s">
        <v>936</v>
      </c>
      <c r="E18" s="314" t="s">
        <v>937</v>
      </c>
      <c r="F18" t="s">
        <v>1053</v>
      </c>
    </row>
    <row r="19" spans="2:15" s="216" customFormat="1" x14ac:dyDescent="0.25">
      <c r="B19" s="451" t="s">
        <v>938</v>
      </c>
      <c r="C19" s="313" t="s">
        <v>939</v>
      </c>
      <c r="D19" s="313" t="s">
        <v>940</v>
      </c>
      <c r="E19" s="313" t="s">
        <v>941</v>
      </c>
      <c r="F19" t="s">
        <v>1054</v>
      </c>
      <c r="G19"/>
      <c r="H19"/>
      <c r="I19"/>
    </row>
    <row r="20" spans="2:15" x14ac:dyDescent="0.25">
      <c r="F20" t="s">
        <v>1055</v>
      </c>
    </row>
    <row r="22" spans="2:15" x14ac:dyDescent="0.25">
      <c r="C22" t="s">
        <v>1258</v>
      </c>
      <c r="D22" t="s">
        <v>1259</v>
      </c>
      <c r="F22" s="276"/>
      <c r="M22" t="s">
        <v>2344</v>
      </c>
      <c r="O22" t="s">
        <v>2345</v>
      </c>
    </row>
    <row r="23" spans="2:15" x14ac:dyDescent="0.25">
      <c r="B23" s="315" t="s">
        <v>886</v>
      </c>
      <c r="C23" s="316">
        <v>794100</v>
      </c>
      <c r="D23" s="317">
        <v>400000</v>
      </c>
      <c r="E23" s="225">
        <f>D23+C23</f>
        <v>1194100</v>
      </c>
      <c r="F23" s="276" t="s">
        <v>1059</v>
      </c>
      <c r="M23" s="225">
        <f>-15816*15+(-15816*0.9)*16</f>
        <v>-464990.4</v>
      </c>
      <c r="O23">
        <v>1000000</v>
      </c>
    </row>
    <row r="24" spans="2:15" x14ac:dyDescent="0.25">
      <c r="B24" s="312" t="s">
        <v>887</v>
      </c>
      <c r="C24" s="316">
        <v>675000</v>
      </c>
      <c r="D24" s="318">
        <f t="shared" ref="D24:D29" si="0">($C$23-C24)+$D$23</f>
        <v>519100</v>
      </c>
      <c r="E24" s="225">
        <f t="shared" ref="E24:E29" si="1">D24+C24</f>
        <v>1194100</v>
      </c>
      <c r="F24" s="276" t="s">
        <v>1063</v>
      </c>
      <c r="M24" s="225">
        <v>-460000</v>
      </c>
      <c r="O24">
        <v>-1200000</v>
      </c>
    </row>
    <row r="25" spans="2:15" x14ac:dyDescent="0.25">
      <c r="B25" s="315" t="s">
        <v>894</v>
      </c>
      <c r="C25" s="316">
        <v>592100</v>
      </c>
      <c r="D25" s="318">
        <f t="shared" si="0"/>
        <v>602000</v>
      </c>
      <c r="E25" s="225">
        <f t="shared" si="1"/>
        <v>1194100</v>
      </c>
      <c r="F25" s="276" t="s">
        <v>1067</v>
      </c>
      <c r="M25" s="142">
        <f>M24+M23</f>
        <v>-924990.4</v>
      </c>
      <c r="O25" s="142">
        <f>O24+O23</f>
        <v>-200000</v>
      </c>
    </row>
    <row r="26" spans="2:15" x14ac:dyDescent="0.25">
      <c r="B26" s="312" t="s">
        <v>898</v>
      </c>
      <c r="C26" s="316">
        <v>527300</v>
      </c>
      <c r="D26" s="318">
        <f t="shared" si="0"/>
        <v>666800</v>
      </c>
      <c r="E26" s="225">
        <f t="shared" si="1"/>
        <v>1194100</v>
      </c>
      <c r="F26" s="276" t="s">
        <v>1071</v>
      </c>
    </row>
    <row r="27" spans="2:15" x14ac:dyDescent="0.25">
      <c r="B27" s="315" t="s">
        <v>902</v>
      </c>
      <c r="C27" s="316">
        <v>472000</v>
      </c>
      <c r="D27" s="318">
        <f t="shared" si="0"/>
        <v>722100</v>
      </c>
      <c r="E27" s="225">
        <f t="shared" si="1"/>
        <v>1194100</v>
      </c>
      <c r="K27" s="17" t="s">
        <v>720</v>
      </c>
      <c r="L27" s="17" t="s">
        <v>37</v>
      </c>
      <c r="M27" s="17" t="s">
        <v>1332</v>
      </c>
      <c r="N27" s="17" t="s">
        <v>2346</v>
      </c>
      <c r="O27" s="17" t="s">
        <v>817</v>
      </c>
    </row>
    <row r="28" spans="2:15" x14ac:dyDescent="0.25">
      <c r="B28" s="312" t="s">
        <v>906</v>
      </c>
      <c r="C28" s="316">
        <v>429900</v>
      </c>
      <c r="D28" s="318">
        <f t="shared" si="0"/>
        <v>764200</v>
      </c>
      <c r="E28" s="225">
        <f t="shared" si="1"/>
        <v>1194100</v>
      </c>
      <c r="K28" s="578" t="s">
        <v>2347</v>
      </c>
      <c r="L28" s="578">
        <v>300000</v>
      </c>
      <c r="M28" s="578">
        <v>468</v>
      </c>
      <c r="N28" s="578">
        <v>794100</v>
      </c>
      <c r="O28" s="453">
        <f>L28+N28+(M28*16)+(M28*0.9*16)</f>
        <v>1108327.2</v>
      </c>
    </row>
    <row r="29" spans="2:15" x14ac:dyDescent="0.25">
      <c r="B29" s="315" t="s">
        <v>910</v>
      </c>
      <c r="C29" s="316">
        <v>394700</v>
      </c>
      <c r="D29" s="318">
        <f t="shared" si="0"/>
        <v>799400</v>
      </c>
      <c r="E29" s="225">
        <f t="shared" si="1"/>
        <v>1194100</v>
      </c>
      <c r="F29" t="s">
        <v>1075</v>
      </c>
      <c r="G29" s="276" t="s">
        <v>1056</v>
      </c>
      <c r="H29" s="276" t="s">
        <v>1057</v>
      </c>
      <c r="I29" s="276" t="s">
        <v>1058</v>
      </c>
      <c r="K29" s="621" t="s">
        <v>2349</v>
      </c>
      <c r="L29" s="578">
        <v>333333</v>
      </c>
      <c r="M29" s="578">
        <v>444</v>
      </c>
      <c r="N29" s="578">
        <v>742000</v>
      </c>
      <c r="O29" s="453">
        <f t="shared" ref="O29:O33" si="2">L29+N29+(M29*16)+(M29*0.9*16)</f>
        <v>1088830.6000000001</v>
      </c>
    </row>
    <row r="30" spans="2:15" x14ac:dyDescent="0.25">
      <c r="G30" s="275" t="s">
        <v>1060</v>
      </c>
      <c r="H30" s="275" t="s">
        <v>1061</v>
      </c>
      <c r="I30" s="275" t="s">
        <v>1062</v>
      </c>
      <c r="K30" s="621" t="s">
        <v>2348</v>
      </c>
      <c r="L30" s="578">
        <v>500000</v>
      </c>
      <c r="M30" s="578">
        <v>2544</v>
      </c>
      <c r="N30" s="578">
        <v>527300</v>
      </c>
      <c r="O30" s="453">
        <f t="shared" si="2"/>
        <v>1104637.6000000001</v>
      </c>
    </row>
    <row r="31" spans="2:15" x14ac:dyDescent="0.25">
      <c r="F31" s="2" t="s">
        <v>1076</v>
      </c>
      <c r="G31" s="275" t="s">
        <v>1064</v>
      </c>
      <c r="H31" s="275" t="s">
        <v>1065</v>
      </c>
      <c r="I31" s="275" t="s">
        <v>1066</v>
      </c>
      <c r="K31" s="621" t="s">
        <v>2350</v>
      </c>
      <c r="L31" s="578">
        <v>284000</v>
      </c>
      <c r="M31" s="578">
        <v>312</v>
      </c>
      <c r="N31" s="578">
        <v>794100</v>
      </c>
      <c r="O31" s="453">
        <f t="shared" si="2"/>
        <v>1087584.8</v>
      </c>
    </row>
    <row r="32" spans="2:15" x14ac:dyDescent="0.25">
      <c r="C32" t="s">
        <v>1258</v>
      </c>
      <c r="D32" t="s">
        <v>1259</v>
      </c>
      <c r="G32" s="275" t="s">
        <v>1068</v>
      </c>
      <c r="H32" s="275" t="s">
        <v>1069</v>
      </c>
      <c r="I32" s="275" t="s">
        <v>1070</v>
      </c>
      <c r="K32" s="621" t="s">
        <v>2351</v>
      </c>
      <c r="L32" s="578">
        <v>290000</v>
      </c>
      <c r="M32" s="578">
        <v>576</v>
      </c>
      <c r="N32" s="578">
        <v>794100</v>
      </c>
      <c r="O32" s="453">
        <f t="shared" si="2"/>
        <v>1101610.3999999999</v>
      </c>
    </row>
    <row r="33" spans="2:15" x14ac:dyDescent="0.25">
      <c r="B33" s="312" t="s">
        <v>887</v>
      </c>
      <c r="C33" s="225">
        <v>4800000</v>
      </c>
      <c r="D33" s="317">
        <v>400000</v>
      </c>
      <c r="E33" s="225">
        <f>D33+C33</f>
        <v>5200000</v>
      </c>
      <c r="F33" t="s">
        <v>1077</v>
      </c>
      <c r="G33" s="275" t="s">
        <v>1072</v>
      </c>
      <c r="H33" s="275" t="s">
        <v>1073</v>
      </c>
      <c r="I33" s="275" t="s">
        <v>1074</v>
      </c>
      <c r="K33" s="621" t="s">
        <v>2352</v>
      </c>
      <c r="L33" s="578">
        <v>295000</v>
      </c>
      <c r="M33" s="578">
        <v>300</v>
      </c>
      <c r="N33" s="578">
        <v>794100</v>
      </c>
      <c r="O33" s="453">
        <f t="shared" si="2"/>
        <v>1098220</v>
      </c>
    </row>
    <row r="34" spans="2:15" x14ac:dyDescent="0.25">
      <c r="B34" s="407" t="s">
        <v>894</v>
      </c>
      <c r="C34" s="225">
        <v>4210500</v>
      </c>
      <c r="D34" s="318">
        <f>($C$33-C34)+D$33</f>
        <v>989500</v>
      </c>
      <c r="E34" s="225">
        <f t="shared" ref="E34:E45" si="3">D34+C34</f>
        <v>5200000</v>
      </c>
      <c r="F34" s="1"/>
      <c r="K34" s="621" t="s">
        <v>2355</v>
      </c>
      <c r="L34" s="578">
        <v>283000</v>
      </c>
      <c r="M34" s="578">
        <v>270</v>
      </c>
      <c r="N34" s="578">
        <v>794100</v>
      </c>
      <c r="O34" s="453">
        <f>L34+N34+(M34*16)+(M34*1*16)</f>
        <v>1085740</v>
      </c>
    </row>
    <row r="35" spans="2:15" x14ac:dyDescent="0.25">
      <c r="B35" s="312" t="s">
        <v>898</v>
      </c>
      <c r="C35" s="225">
        <v>3750000</v>
      </c>
      <c r="D35" s="318">
        <f t="shared" ref="D35:D45" si="4">($C$33-C35)+D$33</f>
        <v>1450000</v>
      </c>
      <c r="E35" s="225">
        <f t="shared" si="3"/>
        <v>5200000</v>
      </c>
      <c r="F35" s="1" t="s">
        <v>1078</v>
      </c>
      <c r="K35" s="621" t="s">
        <v>2356</v>
      </c>
      <c r="L35" s="578">
        <v>225000</v>
      </c>
      <c r="M35" s="578">
        <v>310</v>
      </c>
      <c r="N35" s="578">
        <v>794100</v>
      </c>
      <c r="O35" s="453">
        <f t="shared" ref="O35:O39" si="5">L35+N35+(M35*16)+(M35*0.9*16)</f>
        <v>1028524</v>
      </c>
    </row>
    <row r="36" spans="2:15" x14ac:dyDescent="0.25">
      <c r="B36" s="407" t="s">
        <v>902</v>
      </c>
      <c r="C36" s="225">
        <v>3356600</v>
      </c>
      <c r="D36" s="318">
        <f t="shared" si="4"/>
        <v>1843400</v>
      </c>
      <c r="E36" s="225">
        <f t="shared" si="3"/>
        <v>5200000</v>
      </c>
      <c r="F36" s="1" t="s">
        <v>1079</v>
      </c>
      <c r="K36" s="621" t="s">
        <v>2357</v>
      </c>
      <c r="L36" s="578">
        <v>200000</v>
      </c>
      <c r="M36" s="578">
        <v>348</v>
      </c>
      <c r="N36" s="578">
        <v>794100</v>
      </c>
      <c r="O36" s="453">
        <f t="shared" si="5"/>
        <v>1004679.2</v>
      </c>
    </row>
    <row r="37" spans="2:15" x14ac:dyDescent="0.25">
      <c r="B37" s="312" t="s">
        <v>906</v>
      </c>
      <c r="C37" s="225">
        <v>3057300</v>
      </c>
      <c r="D37" s="318">
        <f t="shared" si="4"/>
        <v>2142700</v>
      </c>
      <c r="E37" s="225">
        <f t="shared" si="3"/>
        <v>5200000</v>
      </c>
      <c r="F37" s="1" t="s">
        <v>1080</v>
      </c>
      <c r="K37" s="621" t="s">
        <v>2358</v>
      </c>
      <c r="L37" s="578">
        <v>200000</v>
      </c>
      <c r="M37" s="578">
        <v>732</v>
      </c>
      <c r="N37" s="578">
        <v>775000</v>
      </c>
      <c r="O37" s="453">
        <f t="shared" si="5"/>
        <v>997252.8</v>
      </c>
    </row>
    <row r="38" spans="2:15" x14ac:dyDescent="0.25">
      <c r="B38" s="407" t="s">
        <v>910</v>
      </c>
      <c r="C38" s="225">
        <v>2807000</v>
      </c>
      <c r="D38" s="318">
        <f t="shared" si="4"/>
        <v>2393000</v>
      </c>
      <c r="E38" s="225">
        <f t="shared" si="3"/>
        <v>5200000</v>
      </c>
      <c r="F38" s="1"/>
      <c r="K38" s="621" t="s">
        <v>2359</v>
      </c>
      <c r="L38" s="578">
        <v>200000</v>
      </c>
      <c r="M38" s="578">
        <v>1188</v>
      </c>
      <c r="N38" s="578">
        <v>794100</v>
      </c>
      <c r="O38" s="453">
        <f t="shared" si="5"/>
        <v>1030215.2</v>
      </c>
    </row>
    <row r="39" spans="2:15" ht="14.45" customHeight="1" x14ac:dyDescent="0.25">
      <c r="B39" s="312" t="s">
        <v>914</v>
      </c>
      <c r="C39" s="225">
        <v>2594500</v>
      </c>
      <c r="D39" s="318">
        <f t="shared" si="4"/>
        <v>2605500</v>
      </c>
      <c r="E39" s="225">
        <f t="shared" si="3"/>
        <v>5200000</v>
      </c>
      <c r="F39" s="1" t="s">
        <v>1081</v>
      </c>
      <c r="K39" s="621" t="s">
        <v>2360</v>
      </c>
      <c r="L39" s="578">
        <v>200000</v>
      </c>
      <c r="M39" s="578">
        <f>250*1.2</f>
        <v>300</v>
      </c>
      <c r="N39" s="578">
        <v>785000</v>
      </c>
      <c r="O39" s="453">
        <f t="shared" si="5"/>
        <v>994120</v>
      </c>
    </row>
    <row r="40" spans="2:15" x14ac:dyDescent="0.25">
      <c r="B40" s="407" t="s">
        <v>918</v>
      </c>
      <c r="C40" s="225">
        <v>2400000</v>
      </c>
      <c r="D40" s="318">
        <f t="shared" si="4"/>
        <v>2800000</v>
      </c>
      <c r="E40" s="225">
        <f t="shared" si="3"/>
        <v>5200000</v>
      </c>
      <c r="F40" s="1" t="s">
        <v>1082</v>
      </c>
      <c r="K40" s="621" t="s">
        <v>2361</v>
      </c>
      <c r="L40" s="578">
        <v>200000</v>
      </c>
      <c r="M40" s="578">
        <f>250*1.2</f>
        <v>300</v>
      </c>
      <c r="N40" s="578">
        <v>785000</v>
      </c>
      <c r="O40" s="453">
        <f t="shared" ref="O40" si="6">L40+N40+(M40*16)+(M40*0.9*16)</f>
        <v>994120</v>
      </c>
    </row>
    <row r="41" spans="2:15" x14ac:dyDescent="0.25">
      <c r="B41" s="312" t="s">
        <v>922</v>
      </c>
      <c r="C41" s="225">
        <v>2242290</v>
      </c>
      <c r="D41" s="318">
        <f t="shared" si="4"/>
        <v>2957710</v>
      </c>
      <c r="E41" s="225">
        <f t="shared" si="3"/>
        <v>5200000</v>
      </c>
      <c r="F41" s="1" t="s">
        <v>1083</v>
      </c>
      <c r="K41" s="621" t="s">
        <v>2362</v>
      </c>
      <c r="L41" s="578">
        <v>200000</v>
      </c>
      <c r="M41" s="578">
        <f>1.2*280</f>
        <v>336</v>
      </c>
      <c r="N41" s="578">
        <v>775000</v>
      </c>
      <c r="O41" s="453">
        <f t="shared" ref="O41" si="7">L41+N41+(M41*16)+(M41*0.9*16)</f>
        <v>985214.4</v>
      </c>
    </row>
    <row r="42" spans="2:15" x14ac:dyDescent="0.25">
      <c r="B42" s="407" t="s">
        <v>926</v>
      </c>
      <c r="C42" s="225">
        <v>2105000</v>
      </c>
      <c r="D42" s="318">
        <f t="shared" si="4"/>
        <v>3095000</v>
      </c>
      <c r="E42" s="225">
        <f t="shared" si="3"/>
        <v>5200000</v>
      </c>
    </row>
    <row r="43" spans="2:15" x14ac:dyDescent="0.25">
      <c r="B43" s="312" t="s">
        <v>930</v>
      </c>
      <c r="C43" s="225">
        <v>1975300</v>
      </c>
      <c r="D43" s="318">
        <f t="shared" si="4"/>
        <v>3224700</v>
      </c>
      <c r="E43" s="225">
        <f t="shared" si="3"/>
        <v>5200000</v>
      </c>
    </row>
    <row r="44" spans="2:15" x14ac:dyDescent="0.25">
      <c r="B44" s="407" t="s">
        <v>934</v>
      </c>
      <c r="C44" s="225">
        <v>1867700</v>
      </c>
      <c r="D44" s="318">
        <f t="shared" si="4"/>
        <v>3332300</v>
      </c>
      <c r="E44" s="225">
        <f t="shared" si="3"/>
        <v>5200000</v>
      </c>
    </row>
    <row r="45" spans="2:15" x14ac:dyDescent="0.25">
      <c r="B45" s="312" t="s">
        <v>938</v>
      </c>
      <c r="C45" s="225">
        <v>1771200</v>
      </c>
      <c r="D45" s="318">
        <f t="shared" si="4"/>
        <v>3428800</v>
      </c>
      <c r="E45" s="225">
        <f t="shared" si="3"/>
        <v>5200000</v>
      </c>
      <c r="F45" s="32" t="s">
        <v>1084</v>
      </c>
    </row>
    <row r="47" spans="2:15" x14ac:dyDescent="0.25">
      <c r="F47" t="s">
        <v>1085</v>
      </c>
    </row>
    <row r="48" spans="2:15" x14ac:dyDescent="0.25">
      <c r="F48" t="s">
        <v>1086</v>
      </c>
    </row>
    <row r="49" spans="6:6" x14ac:dyDescent="0.25">
      <c r="F49" t="s">
        <v>1087</v>
      </c>
    </row>
    <row r="51" spans="6:6" x14ac:dyDescent="0.25">
      <c r="F51" s="40" t="s">
        <v>1088</v>
      </c>
    </row>
    <row r="53" spans="6:6" x14ac:dyDescent="0.25">
      <c r="F53" t="s">
        <v>1089</v>
      </c>
    </row>
    <row r="54" spans="6:6" x14ac:dyDescent="0.25">
      <c r="F54" t="s">
        <v>1090</v>
      </c>
    </row>
    <row r="55" spans="6:6" x14ac:dyDescent="0.25">
      <c r="F55" t="s">
        <v>1091</v>
      </c>
    </row>
    <row r="56" spans="6:6" x14ac:dyDescent="0.25">
      <c r="F56" t="s">
        <v>1092</v>
      </c>
    </row>
    <row r="57" spans="6:6" x14ac:dyDescent="0.25">
      <c r="F57" t="s">
        <v>1093</v>
      </c>
    </row>
    <row r="59" spans="6:6" x14ac:dyDescent="0.25">
      <c r="F59" t="s">
        <v>1094</v>
      </c>
    </row>
    <row r="60" spans="6:6" x14ac:dyDescent="0.25">
      <c r="F60" t="s">
        <v>1095</v>
      </c>
    </row>
    <row r="61" spans="6:6" x14ac:dyDescent="0.25">
      <c r="F61" t="s">
        <v>1096</v>
      </c>
    </row>
    <row r="62" spans="6:6" x14ac:dyDescent="0.25">
      <c r="F62" t="s">
        <v>1097</v>
      </c>
    </row>
    <row r="63" spans="6:6" x14ac:dyDescent="0.25">
      <c r="F63" t="s">
        <v>1098</v>
      </c>
    </row>
    <row r="64" spans="6:6" x14ac:dyDescent="0.25">
      <c r="F64" t="s">
        <v>1099</v>
      </c>
    </row>
    <row r="66" spans="6:6" x14ac:dyDescent="0.25">
      <c r="F66" s="2" t="s">
        <v>1100</v>
      </c>
    </row>
    <row r="68" spans="6:6" x14ac:dyDescent="0.25">
      <c r="F68" t="s">
        <v>1101</v>
      </c>
    </row>
    <row r="69" spans="6:6" x14ac:dyDescent="0.25">
      <c r="F69" t="s">
        <v>1102</v>
      </c>
    </row>
    <row r="70" spans="6:6" x14ac:dyDescent="0.25">
      <c r="F70" t="s">
        <v>1103</v>
      </c>
    </row>
    <row r="71" spans="6:6" x14ac:dyDescent="0.25">
      <c r="F71" t="s">
        <v>1104</v>
      </c>
    </row>
    <row r="72" spans="6:6" x14ac:dyDescent="0.25">
      <c r="F72" t="s">
        <v>1105</v>
      </c>
    </row>
    <row r="73" spans="6:6" x14ac:dyDescent="0.25">
      <c r="F73" t="s">
        <v>1106</v>
      </c>
    </row>
    <row r="75" spans="6:6" x14ac:dyDescent="0.25">
      <c r="F75" s="276"/>
    </row>
    <row r="76" spans="6:6" x14ac:dyDescent="0.25">
      <c r="F76" s="276" t="s">
        <v>1109</v>
      </c>
    </row>
    <row r="77" spans="6:6" ht="30" x14ac:dyDescent="0.25">
      <c r="F77" s="276" t="s">
        <v>1112</v>
      </c>
    </row>
    <row r="78" spans="6:6" x14ac:dyDescent="0.25">
      <c r="F78" s="276" t="s">
        <v>1115</v>
      </c>
    </row>
    <row r="79" spans="6:6" x14ac:dyDescent="0.25">
      <c r="F79" s="276" t="s">
        <v>1118</v>
      </c>
    </row>
    <row r="80" spans="6:6" x14ac:dyDescent="0.25">
      <c r="F80" s="276" t="s">
        <v>1121</v>
      </c>
    </row>
    <row r="81" spans="6:6" x14ac:dyDescent="0.25">
      <c r="F81" s="276" t="s">
        <v>1124</v>
      </c>
    </row>
    <row r="83" spans="6:6" x14ac:dyDescent="0.25">
      <c r="F83" s="188" t="s">
        <v>1127</v>
      </c>
    </row>
    <row r="85" spans="6:6" x14ac:dyDescent="0.25">
      <c r="F85" s="32" t="s">
        <v>1128</v>
      </c>
    </row>
    <row r="87" spans="6:6" x14ac:dyDescent="0.25">
      <c r="F87" t="s">
        <v>1129</v>
      </c>
    </row>
    <row r="88" spans="6:6" x14ac:dyDescent="0.25">
      <c r="F88" t="s">
        <v>1130</v>
      </c>
    </row>
    <row r="90" spans="6:6" x14ac:dyDescent="0.25">
      <c r="F90" t="s">
        <v>1131</v>
      </c>
    </row>
    <row r="91" spans="6:6" x14ac:dyDescent="0.25">
      <c r="F91" t="s">
        <v>1132</v>
      </c>
    </row>
    <row r="92" spans="6:6" x14ac:dyDescent="0.25">
      <c r="F92" t="s">
        <v>1133</v>
      </c>
    </row>
    <row r="93" spans="6:6" x14ac:dyDescent="0.25">
      <c r="F93" t="s">
        <v>1134</v>
      </c>
    </row>
    <row r="95" spans="6:6" x14ac:dyDescent="0.25">
      <c r="F95" t="s">
        <v>1135</v>
      </c>
    </row>
    <row r="97" spans="6:8" ht="30" x14ac:dyDescent="0.25">
      <c r="F97" s="32" t="s">
        <v>1136</v>
      </c>
      <c r="H97" s="276" t="s">
        <v>1108</v>
      </c>
    </row>
    <row r="98" spans="6:8" ht="30" x14ac:dyDescent="0.25">
      <c r="F98" t="s">
        <v>1137</v>
      </c>
      <c r="G98" s="276" t="s">
        <v>1107</v>
      </c>
      <c r="H98" s="275" t="s">
        <v>1111</v>
      </c>
    </row>
    <row r="99" spans="6:8" ht="30" x14ac:dyDescent="0.25">
      <c r="G99" s="275" t="s">
        <v>1110</v>
      </c>
      <c r="H99" s="4" t="s">
        <v>1114</v>
      </c>
    </row>
    <row r="100" spans="6:8" ht="30" x14ac:dyDescent="0.25">
      <c r="G100" s="275" t="s">
        <v>1113</v>
      </c>
      <c r="H100" s="4" t="s">
        <v>1117</v>
      </c>
    </row>
    <row r="101" spans="6:8" ht="30" x14ac:dyDescent="0.25">
      <c r="G101" s="275" t="s">
        <v>1116</v>
      </c>
      <c r="H101" s="4" t="s">
        <v>1120</v>
      </c>
    </row>
    <row r="102" spans="6:8" ht="30" x14ac:dyDescent="0.25">
      <c r="G102" s="275" t="s">
        <v>1119</v>
      </c>
      <c r="H102" s="4" t="s">
        <v>1123</v>
      </c>
    </row>
    <row r="103" spans="6:8" ht="30" x14ac:dyDescent="0.25">
      <c r="G103" s="275" t="s">
        <v>1122</v>
      </c>
      <c r="H103" s="4" t="s">
        <v>1126</v>
      </c>
    </row>
    <row r="104" spans="6:8" ht="30" x14ac:dyDescent="0.25">
      <c r="G104" s="275" t="s">
        <v>1125</v>
      </c>
    </row>
  </sheetData>
  <mergeCells count="5">
    <mergeCell ref="B3:B4"/>
    <mergeCell ref="C3:C4"/>
    <mergeCell ref="D3:D4"/>
    <mergeCell ref="E3:E4"/>
    <mergeCell ref="B2:E2"/>
  </mergeCells>
  <hyperlinks>
    <hyperlink ref="F45" r:id="rId1" tooltip="‭(15172393.504)‬" display="http://www75.hattrick.org/Forum/Read.aspx?t=15172393&amp;n=504&amp;v=0&amp;mr=0"/>
    <hyperlink ref="F85" r:id="rId2" location="105" tooltip="http://www.hattrickinfo.com/en/coach/106/#105" display="http://www.hattrickinfo.com/en/coach/106/ - 105"/>
    <hyperlink ref="F97" r:id="rId3" tooltip="‭(15172393.17)‬" display="http://www75.hattrick.org/Forum/Read.aspx?t=15172393&amp;n=17&amp;v=0&amp;mr=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U50"/>
  <sheetViews>
    <sheetView zoomScale="80" zoomScaleNormal="80" workbookViewId="0">
      <selection activeCell="N22" sqref="N22"/>
    </sheetView>
  </sheetViews>
  <sheetFormatPr baseColWidth="10" defaultColWidth="11.42578125" defaultRowHeight="15" x14ac:dyDescent="0.25"/>
  <cols>
    <col min="1" max="1" width="11.85546875" customWidth="1"/>
    <col min="2" max="2" width="9" customWidth="1"/>
    <col min="3" max="6" width="6.5703125" bestFit="1" customWidth="1"/>
    <col min="7" max="7" width="7.7109375" customWidth="1"/>
    <col min="8" max="8" width="6.5703125" bestFit="1" customWidth="1"/>
    <col min="9" max="9" width="6.5703125" customWidth="1"/>
    <col min="10" max="10" width="11.42578125" customWidth="1"/>
    <col min="11" max="11" width="7.7109375" bestFit="1" customWidth="1"/>
    <col min="12" max="12" width="6.5703125" bestFit="1" customWidth="1"/>
    <col min="13" max="13" width="5.5703125" bestFit="1" customWidth="1"/>
    <col min="14" max="14" width="6.5703125" bestFit="1" customWidth="1"/>
    <col min="15" max="16" width="5.5703125" bestFit="1" customWidth="1"/>
    <col min="17" max="19" width="4.42578125" bestFit="1" customWidth="1"/>
    <col min="20" max="24" width="4.5703125" bestFit="1" customWidth="1"/>
    <col min="25" max="26" width="7.140625" bestFit="1" customWidth="1"/>
    <col min="27" max="27" width="5.140625" customWidth="1"/>
    <col min="28" max="28" width="8" style="479" bestFit="1" customWidth="1"/>
    <col min="29" max="29" width="7.42578125" style="479" bestFit="1" customWidth="1"/>
    <col min="30" max="30" width="17" style="479" bestFit="1" customWidth="1"/>
    <col min="32" max="32" width="4.42578125" bestFit="1" customWidth="1"/>
    <col min="37" max="37" width="8.5703125" bestFit="1" customWidth="1"/>
    <col min="38" max="38" width="7.42578125" bestFit="1" customWidth="1"/>
    <col min="39" max="39" width="18.140625" bestFit="1" customWidth="1"/>
    <col min="40" max="41" width="6.28515625" style="688" customWidth="1"/>
    <col min="43" max="44" width="7.28515625" style="688" customWidth="1"/>
  </cols>
  <sheetData>
    <row r="1" spans="1:47" x14ac:dyDescent="0.25">
      <c r="K1" t="s">
        <v>1801</v>
      </c>
      <c r="L1" t="s">
        <v>1798</v>
      </c>
      <c r="M1" t="s">
        <v>1799</v>
      </c>
      <c r="N1" t="s">
        <v>1800</v>
      </c>
      <c r="O1" t="s">
        <v>1802</v>
      </c>
      <c r="P1" t="s">
        <v>1803</v>
      </c>
      <c r="Q1" t="s">
        <v>1804</v>
      </c>
      <c r="R1" t="s">
        <v>1805</v>
      </c>
      <c r="S1" t="s">
        <v>1806</v>
      </c>
      <c r="T1" t="s">
        <v>1807</v>
      </c>
      <c r="U1" t="s">
        <v>1808</v>
      </c>
      <c r="V1" t="s">
        <v>1809</v>
      </c>
      <c r="W1" t="s">
        <v>1810</v>
      </c>
      <c r="X1" t="s">
        <v>1811</v>
      </c>
      <c r="AB1"/>
      <c r="AC1"/>
      <c r="AD1"/>
      <c r="AG1" s="479"/>
      <c r="AH1" s="479"/>
      <c r="AI1" s="479"/>
    </row>
    <row r="2" spans="1:47" x14ac:dyDescent="0.25">
      <c r="H2" s="11" t="s">
        <v>575</v>
      </c>
      <c r="I2" s="11">
        <v>1</v>
      </c>
      <c r="J2" s="11">
        <f>I2*8</f>
        <v>8</v>
      </c>
      <c r="K2" s="17">
        <f>J2</f>
        <v>8</v>
      </c>
      <c r="L2">
        <v>8</v>
      </c>
      <c r="M2">
        <v>8</v>
      </c>
      <c r="N2">
        <v>8</v>
      </c>
      <c r="O2">
        <v>8</v>
      </c>
      <c r="P2">
        <v>8</v>
      </c>
      <c r="Q2">
        <v>8</v>
      </c>
      <c r="R2">
        <v>8</v>
      </c>
      <c r="S2">
        <v>8</v>
      </c>
      <c r="T2">
        <v>8</v>
      </c>
      <c r="U2">
        <v>8</v>
      </c>
      <c r="V2">
        <v>8</v>
      </c>
      <c r="W2">
        <v>4</v>
      </c>
      <c r="X2">
        <v>2</v>
      </c>
      <c r="AA2" s="326">
        <v>0.8</v>
      </c>
      <c r="AB2"/>
      <c r="AC2"/>
      <c r="AD2" s="49">
        <v>0.8</v>
      </c>
      <c r="AG2" s="480"/>
      <c r="AH2" s="480"/>
      <c r="AI2" s="480"/>
      <c r="AK2" t="s">
        <v>2490</v>
      </c>
      <c r="AN2" s="688">
        <v>2048</v>
      </c>
      <c r="AQ2" s="688" t="s">
        <v>1802</v>
      </c>
      <c r="AR2" s="688">
        <v>1024</v>
      </c>
      <c r="AT2" s="688" t="s">
        <v>1803</v>
      </c>
      <c r="AU2" s="688">
        <v>512</v>
      </c>
    </row>
    <row r="3" spans="1:47" ht="15.75" x14ac:dyDescent="0.25">
      <c r="A3" s="85" t="s">
        <v>564</v>
      </c>
      <c r="H3" s="11" t="s">
        <v>576</v>
      </c>
      <c r="I3" s="11">
        <v>4</v>
      </c>
      <c r="J3" s="11">
        <f t="shared" ref="J3:J11" si="0">I3*8</f>
        <v>32</v>
      </c>
      <c r="K3" s="17">
        <f>K2+J3</f>
        <v>40</v>
      </c>
      <c r="L3">
        <v>40</v>
      </c>
      <c r="M3">
        <v>40</v>
      </c>
      <c r="N3">
        <v>40</v>
      </c>
      <c r="O3">
        <v>40</v>
      </c>
      <c r="P3">
        <v>40</v>
      </c>
      <c r="Q3">
        <v>40</v>
      </c>
      <c r="R3">
        <v>40</v>
      </c>
      <c r="S3">
        <v>40</v>
      </c>
      <c r="T3">
        <v>32</v>
      </c>
      <c r="U3">
        <v>16</v>
      </c>
      <c r="V3">
        <v>0</v>
      </c>
      <c r="W3">
        <v>0</v>
      </c>
      <c r="X3">
        <v>0</v>
      </c>
      <c r="Z3" s="11">
        <v>1</v>
      </c>
      <c r="AA3" s="49">
        <f>AA2</f>
        <v>0.8</v>
      </c>
      <c r="AB3"/>
      <c r="AC3" s="11">
        <v>1</v>
      </c>
      <c r="AD3" s="482">
        <v>0.99929999999999997</v>
      </c>
      <c r="AE3" s="483"/>
      <c r="AF3" s="326"/>
      <c r="AG3" t="s">
        <v>2429</v>
      </c>
      <c r="AH3" t="s">
        <v>2430</v>
      </c>
      <c r="AI3" t="s">
        <v>1528</v>
      </c>
      <c r="AK3" t="s">
        <v>2429</v>
      </c>
      <c r="AL3" t="s">
        <v>2430</v>
      </c>
      <c r="AM3" t="s">
        <v>1528</v>
      </c>
      <c r="AN3" s="688" t="s">
        <v>1003</v>
      </c>
      <c r="AO3" s="688" t="s">
        <v>2491</v>
      </c>
      <c r="AQ3" s="688" t="s">
        <v>1003</v>
      </c>
      <c r="AR3" s="688" t="s">
        <v>2491</v>
      </c>
      <c r="AT3" s="688" t="s">
        <v>1003</v>
      </c>
      <c r="AU3" s="688" t="s">
        <v>2491</v>
      </c>
    </row>
    <row r="4" spans="1:47" ht="15.75" x14ac:dyDescent="0.25">
      <c r="A4" s="85" t="s">
        <v>565</v>
      </c>
      <c r="H4" s="11" t="s">
        <v>577</v>
      </c>
      <c r="I4" s="11">
        <v>16</v>
      </c>
      <c r="J4" s="11">
        <f t="shared" si="0"/>
        <v>128</v>
      </c>
      <c r="K4" s="17">
        <f t="shared" ref="K4:K11" si="1">K3+J4</f>
        <v>168</v>
      </c>
      <c r="L4">
        <v>168</v>
      </c>
      <c r="M4">
        <v>168</v>
      </c>
      <c r="N4">
        <v>168</v>
      </c>
      <c r="O4">
        <v>168</v>
      </c>
      <c r="P4">
        <v>168</v>
      </c>
      <c r="Q4">
        <v>168</v>
      </c>
      <c r="R4">
        <v>128</v>
      </c>
      <c r="S4">
        <v>64</v>
      </c>
      <c r="T4">
        <v>0</v>
      </c>
      <c r="U4">
        <v>0</v>
      </c>
      <c r="V4">
        <v>0</v>
      </c>
      <c r="W4">
        <v>0</v>
      </c>
      <c r="X4">
        <v>0</v>
      </c>
      <c r="Z4" s="11">
        <v>2</v>
      </c>
      <c r="AA4" s="49">
        <f t="shared" ref="AA4:AA18" si="2">AA3*$AA$2</f>
        <v>0.64000000000000012</v>
      </c>
      <c r="AB4"/>
      <c r="AC4" s="11">
        <v>2</v>
      </c>
      <c r="AD4" s="482">
        <f t="shared" ref="AD4:AD9" si="3">AD3*AE4</f>
        <v>0.98750825999999992</v>
      </c>
      <c r="AE4" s="483">
        <v>0.98819999999999997</v>
      </c>
      <c r="AF4" s="326"/>
      <c r="AG4" t="s">
        <v>2431</v>
      </c>
      <c r="AH4">
        <v>1</v>
      </c>
      <c r="AI4">
        <v>8</v>
      </c>
      <c r="AK4" t="s">
        <v>2431</v>
      </c>
      <c r="AL4">
        <v>1</v>
      </c>
      <c r="AM4">
        <v>8</v>
      </c>
      <c r="AN4" s="688">
        <v>0</v>
      </c>
      <c r="AO4" s="688">
        <v>8</v>
      </c>
      <c r="AQ4" s="688">
        <v>0</v>
      </c>
      <c r="AR4" s="688">
        <v>8</v>
      </c>
      <c r="AT4" s="688">
        <v>0</v>
      </c>
      <c r="AU4" s="688">
        <v>8</v>
      </c>
    </row>
    <row r="5" spans="1:47" ht="15.75" x14ac:dyDescent="0.25">
      <c r="A5" s="85" t="s">
        <v>566</v>
      </c>
      <c r="H5" s="11" t="s">
        <v>578</v>
      </c>
      <c r="I5" s="11">
        <v>64</v>
      </c>
      <c r="J5" s="11">
        <f t="shared" si="0"/>
        <v>512</v>
      </c>
      <c r="K5" s="17">
        <f t="shared" si="1"/>
        <v>680</v>
      </c>
      <c r="L5">
        <v>680</v>
      </c>
      <c r="M5">
        <v>680</v>
      </c>
      <c r="N5">
        <v>680</v>
      </c>
      <c r="O5">
        <v>680</v>
      </c>
      <c r="P5">
        <v>512</v>
      </c>
      <c r="Q5">
        <v>256</v>
      </c>
      <c r="R5">
        <v>0</v>
      </c>
      <c r="S5">
        <v>0</v>
      </c>
      <c r="T5">
        <v>0</v>
      </c>
      <c r="U5">
        <v>0</v>
      </c>
      <c r="V5">
        <v>0</v>
      </c>
      <c r="W5">
        <v>0</v>
      </c>
      <c r="X5">
        <v>0</v>
      </c>
      <c r="Z5" s="11">
        <v>3</v>
      </c>
      <c r="AA5" s="49">
        <f t="shared" si="2"/>
        <v>0.51200000000000012</v>
      </c>
      <c r="AB5"/>
      <c r="AC5" s="11">
        <v>3</v>
      </c>
      <c r="AD5" s="482">
        <f t="shared" si="3"/>
        <v>0.87730233818400005</v>
      </c>
      <c r="AE5" s="483">
        <f>0.7136+0.1748</f>
        <v>0.88840000000000008</v>
      </c>
      <c r="AF5" s="326"/>
      <c r="AG5" t="s">
        <v>2432</v>
      </c>
      <c r="AH5">
        <v>2</v>
      </c>
      <c r="AI5">
        <v>32</v>
      </c>
      <c r="AK5" t="s">
        <v>2432</v>
      </c>
      <c r="AL5">
        <v>2</v>
      </c>
      <c r="AM5">
        <v>30</v>
      </c>
      <c r="AN5" s="688">
        <v>0</v>
      </c>
      <c r="AO5" s="688">
        <v>30</v>
      </c>
      <c r="AQ5" s="688">
        <v>0</v>
      </c>
      <c r="AR5" s="688">
        <v>30</v>
      </c>
      <c r="AT5" s="688">
        <v>0</v>
      </c>
      <c r="AU5" s="688">
        <v>30</v>
      </c>
    </row>
    <row r="6" spans="1:47" ht="15.75" x14ac:dyDescent="0.25">
      <c r="A6" s="85" t="s">
        <v>567</v>
      </c>
      <c r="H6" s="11" t="s">
        <v>579</v>
      </c>
      <c r="I6" s="11">
        <v>256</v>
      </c>
      <c r="J6" s="11">
        <f t="shared" si="0"/>
        <v>2048</v>
      </c>
      <c r="K6" s="17">
        <f t="shared" si="1"/>
        <v>2728</v>
      </c>
      <c r="L6">
        <v>2728</v>
      </c>
      <c r="M6">
        <v>2728</v>
      </c>
      <c r="N6">
        <v>2048</v>
      </c>
      <c r="O6">
        <v>1024</v>
      </c>
      <c r="P6">
        <v>0</v>
      </c>
      <c r="Q6">
        <v>0</v>
      </c>
      <c r="R6">
        <v>0</v>
      </c>
      <c r="S6">
        <v>0</v>
      </c>
      <c r="T6">
        <v>0</v>
      </c>
      <c r="U6">
        <v>0</v>
      </c>
      <c r="V6">
        <v>0</v>
      </c>
      <c r="W6">
        <v>0</v>
      </c>
      <c r="X6">
        <v>0</v>
      </c>
      <c r="Z6" s="11">
        <v>4</v>
      </c>
      <c r="AA6" s="49">
        <f t="shared" si="2"/>
        <v>0.40960000000000013</v>
      </c>
      <c r="AB6"/>
      <c r="AC6" s="11">
        <v>4</v>
      </c>
      <c r="AD6" s="482">
        <f t="shared" si="3"/>
        <v>0.74070636412875124</v>
      </c>
      <c r="AE6" s="483">
        <f>0.6745+0.1698</f>
        <v>0.84430000000000005</v>
      </c>
      <c r="AF6" s="326"/>
      <c r="AG6" t="s">
        <v>2433</v>
      </c>
      <c r="AH6">
        <v>3</v>
      </c>
      <c r="AI6">
        <v>121</v>
      </c>
      <c r="AK6" t="s">
        <v>2433</v>
      </c>
      <c r="AL6">
        <v>3</v>
      </c>
      <c r="AM6">
        <v>113</v>
      </c>
      <c r="AN6" s="688">
        <v>0</v>
      </c>
      <c r="AO6" s="688">
        <v>113</v>
      </c>
      <c r="AQ6" s="688">
        <v>0</v>
      </c>
      <c r="AR6" s="688">
        <v>113</v>
      </c>
      <c r="AT6" s="688">
        <v>0</v>
      </c>
      <c r="AU6" s="688">
        <v>113</v>
      </c>
    </row>
    <row r="7" spans="1:47" ht="15.75" x14ac:dyDescent="0.25">
      <c r="A7" s="85" t="s">
        <v>568</v>
      </c>
      <c r="H7" s="11" t="s">
        <v>580</v>
      </c>
      <c r="I7" s="11">
        <v>1024</v>
      </c>
      <c r="J7" s="11">
        <f t="shared" si="0"/>
        <v>8192</v>
      </c>
      <c r="K7" s="17">
        <f t="shared" si="1"/>
        <v>10920</v>
      </c>
      <c r="L7">
        <f>K7-L6</f>
        <v>8192</v>
      </c>
      <c r="M7">
        <f>L7-E32</f>
        <v>4096</v>
      </c>
      <c r="N7">
        <v>0</v>
      </c>
      <c r="O7">
        <v>0</v>
      </c>
      <c r="P7">
        <v>0</v>
      </c>
      <c r="Q7">
        <v>0</v>
      </c>
      <c r="R7">
        <v>0</v>
      </c>
      <c r="S7">
        <v>0</v>
      </c>
      <c r="T7">
        <v>0</v>
      </c>
      <c r="U7">
        <v>0</v>
      </c>
      <c r="V7">
        <v>0</v>
      </c>
      <c r="W7">
        <v>0</v>
      </c>
      <c r="X7">
        <v>0</v>
      </c>
      <c r="Z7" s="11">
        <v>5</v>
      </c>
      <c r="AA7" s="49">
        <f t="shared" si="2"/>
        <v>0.32768000000000014</v>
      </c>
      <c r="AB7"/>
      <c r="AC7" s="11">
        <v>5</v>
      </c>
      <c r="AD7" s="482">
        <f t="shared" si="3"/>
        <v>0.73285487666898641</v>
      </c>
      <c r="AE7" s="483">
        <f>0.9568+0.0326</f>
        <v>0.98939999999999995</v>
      </c>
      <c r="AF7" s="326"/>
      <c r="AG7" t="s">
        <v>2434</v>
      </c>
      <c r="AH7">
        <v>4</v>
      </c>
      <c r="AI7">
        <v>423</v>
      </c>
      <c r="AK7" t="s">
        <v>2434</v>
      </c>
      <c r="AL7">
        <v>4</v>
      </c>
      <c r="AM7">
        <v>336</v>
      </c>
      <c r="AN7" s="688">
        <v>0</v>
      </c>
      <c r="AO7" s="688">
        <v>336</v>
      </c>
      <c r="AQ7" s="688">
        <v>0</v>
      </c>
      <c r="AR7" s="688">
        <v>336</v>
      </c>
      <c r="AT7" s="688">
        <f>AR7-AU7</f>
        <v>231</v>
      </c>
      <c r="AU7" s="688">
        <f>256-AU6-AU5-AU4</f>
        <v>105</v>
      </c>
    </row>
    <row r="8" spans="1:47" ht="15.75" x14ac:dyDescent="0.25">
      <c r="A8" s="85" t="s">
        <v>569</v>
      </c>
      <c r="H8" s="11" t="s">
        <v>581</v>
      </c>
      <c r="I8" s="11">
        <v>1024</v>
      </c>
      <c r="J8" s="11">
        <f t="shared" si="0"/>
        <v>8192</v>
      </c>
      <c r="K8" s="17">
        <f t="shared" si="1"/>
        <v>19112</v>
      </c>
      <c r="Z8" s="11">
        <v>6</v>
      </c>
      <c r="AA8" s="49">
        <f t="shared" si="2"/>
        <v>0.2621440000000001</v>
      </c>
      <c r="AB8"/>
      <c r="AC8" s="11">
        <v>6</v>
      </c>
      <c r="AD8" s="482">
        <f t="shared" si="3"/>
        <v>0.54758916384706668</v>
      </c>
      <c r="AE8" s="483">
        <f>0.4621+0.2851</f>
        <v>0.74720000000000009</v>
      </c>
      <c r="AF8" s="326"/>
      <c r="AG8" t="s">
        <v>2435</v>
      </c>
      <c r="AH8">
        <v>5</v>
      </c>
      <c r="AI8">
        <v>1279</v>
      </c>
      <c r="AK8" t="s">
        <v>2435</v>
      </c>
      <c r="AL8">
        <v>5</v>
      </c>
      <c r="AM8">
        <v>741</v>
      </c>
      <c r="AN8" s="688">
        <f>1024-AN9</f>
        <v>204</v>
      </c>
      <c r="AO8" s="688">
        <f>AM8-AN8</f>
        <v>537</v>
      </c>
      <c r="AQ8" s="688">
        <f>1024-AR8-AR7-AR6-AR5-AR4</f>
        <v>512</v>
      </c>
      <c r="AR8" s="688">
        <f>512-AR7-AR6-AR5-AR4</f>
        <v>25</v>
      </c>
      <c r="AT8" s="688">
        <f>512-AT7-AU7-AU6-AU5-AU4</f>
        <v>25</v>
      </c>
      <c r="AU8" s="688">
        <v>0</v>
      </c>
    </row>
    <row r="9" spans="1:47" ht="15.75" x14ac:dyDescent="0.25">
      <c r="A9" s="85" t="s">
        <v>570</v>
      </c>
      <c r="H9" s="11" t="s">
        <v>582</v>
      </c>
      <c r="I9" s="11">
        <v>2048</v>
      </c>
      <c r="J9" s="11">
        <f t="shared" si="0"/>
        <v>16384</v>
      </c>
      <c r="K9" s="17">
        <f t="shared" si="1"/>
        <v>35496</v>
      </c>
      <c r="Z9" s="11">
        <v>7</v>
      </c>
      <c r="AA9" s="49">
        <f t="shared" si="2"/>
        <v>0.2097152000000001</v>
      </c>
      <c r="AB9"/>
      <c r="AC9" s="11">
        <v>7</v>
      </c>
      <c r="AD9" s="486">
        <f t="shared" si="3"/>
        <v>0.48647821316173406</v>
      </c>
      <c r="AE9" s="487">
        <f>0.7136+0.1748</f>
        <v>0.88840000000000008</v>
      </c>
      <c r="AF9" s="326"/>
      <c r="AG9" t="s">
        <v>2436</v>
      </c>
      <c r="AH9">
        <v>6</v>
      </c>
      <c r="AI9">
        <v>2233</v>
      </c>
      <c r="AK9" t="s">
        <v>2436</v>
      </c>
      <c r="AL9">
        <v>6</v>
      </c>
      <c r="AM9">
        <v>820</v>
      </c>
      <c r="AN9" s="688">
        <v>820</v>
      </c>
      <c r="AO9" s="688">
        <v>0</v>
      </c>
    </row>
    <row r="10" spans="1:47" ht="15.75" x14ac:dyDescent="0.25">
      <c r="A10" s="85" t="s">
        <v>571</v>
      </c>
      <c r="H10" s="11" t="s">
        <v>583</v>
      </c>
      <c r="I10" s="11">
        <v>2048</v>
      </c>
      <c r="J10" s="11">
        <f t="shared" si="0"/>
        <v>16384</v>
      </c>
      <c r="K10" s="17">
        <f t="shared" si="1"/>
        <v>51880</v>
      </c>
      <c r="Z10" s="11">
        <v>8</v>
      </c>
      <c r="AA10" s="49">
        <f t="shared" si="2"/>
        <v>0.16777216000000009</v>
      </c>
      <c r="AB10"/>
      <c r="AC10" s="11">
        <v>8</v>
      </c>
      <c r="AD10" s="484">
        <f>AD9*AE10</f>
        <v>0.24323910658086703</v>
      </c>
      <c r="AE10" s="485">
        <v>0.5</v>
      </c>
      <c r="AF10" s="326"/>
      <c r="AG10" s="479"/>
      <c r="AH10" s="479"/>
      <c r="AI10" s="479">
        <f>AI9+AI8+AI7+AI6+AI5+AI4</f>
        <v>4096</v>
      </c>
    </row>
    <row r="11" spans="1:47" ht="15.75" x14ac:dyDescent="0.25">
      <c r="A11" s="85" t="s">
        <v>572</v>
      </c>
      <c r="H11" s="11" t="s">
        <v>584</v>
      </c>
      <c r="I11" s="11">
        <v>4096</v>
      </c>
      <c r="J11" s="11">
        <f t="shared" si="0"/>
        <v>32768</v>
      </c>
      <c r="K11" s="17">
        <f t="shared" si="1"/>
        <v>84648</v>
      </c>
      <c r="Z11" s="11">
        <v>9</v>
      </c>
      <c r="AA11" s="49">
        <f t="shared" si="2"/>
        <v>0.13421772800000006</v>
      </c>
      <c r="AB11"/>
      <c r="AC11" s="11">
        <v>9</v>
      </c>
      <c r="AD11" s="482">
        <f t="shared" ref="AD11:AD18" si="4">AD10*AE11</f>
        <v>0.12161955329043352</v>
      </c>
      <c r="AE11" s="483">
        <f>AE10</f>
        <v>0.5</v>
      </c>
      <c r="AF11" s="326"/>
      <c r="AG11" s="479"/>
      <c r="AH11" s="479"/>
      <c r="AI11" s="479"/>
    </row>
    <row r="12" spans="1:47" ht="15.75" x14ac:dyDescent="0.25">
      <c r="A12" s="85" t="s">
        <v>573</v>
      </c>
      <c r="Z12" s="11">
        <v>10</v>
      </c>
      <c r="AA12" s="49">
        <f t="shared" si="2"/>
        <v>0.10737418240000006</v>
      </c>
      <c r="AB12"/>
      <c r="AC12" s="11">
        <v>10</v>
      </c>
      <c r="AD12" s="482">
        <f t="shared" si="4"/>
        <v>6.0809776645216758E-2</v>
      </c>
      <c r="AE12" s="483">
        <f t="shared" ref="AE12:AE18" si="5">AE11</f>
        <v>0.5</v>
      </c>
      <c r="AF12" s="326"/>
      <c r="AG12" s="479"/>
      <c r="AH12" s="479"/>
      <c r="AI12" s="479"/>
    </row>
    <row r="13" spans="1:47" ht="15.75" x14ac:dyDescent="0.25">
      <c r="A13" s="85" t="s">
        <v>574</v>
      </c>
      <c r="Z13" s="11">
        <v>11</v>
      </c>
      <c r="AA13" s="49">
        <f t="shared" si="2"/>
        <v>8.589934592000005E-2</v>
      </c>
      <c r="AB13"/>
      <c r="AC13" s="11">
        <v>11</v>
      </c>
      <c r="AD13" s="482">
        <f t="shared" si="4"/>
        <v>3.0404888322608379E-2</v>
      </c>
      <c r="AE13" s="483">
        <f t="shared" si="5"/>
        <v>0.5</v>
      </c>
      <c r="AF13" s="326"/>
      <c r="AG13" s="479"/>
      <c r="AH13" s="479"/>
      <c r="AI13" s="479"/>
    </row>
    <row r="14" spans="1:47" x14ac:dyDescent="0.25">
      <c r="K14">
        <f>J10*0.02</f>
        <v>327.68</v>
      </c>
      <c r="N14">
        <f>K8+I9</f>
        <v>21160</v>
      </c>
      <c r="Z14" s="11">
        <v>12</v>
      </c>
      <c r="AA14" s="49">
        <f t="shared" si="2"/>
        <v>6.871947673600004E-2</v>
      </c>
      <c r="AB14"/>
      <c r="AC14" s="11">
        <v>12</v>
      </c>
      <c r="AD14" s="482">
        <f t="shared" si="4"/>
        <v>1.5202444161304189E-2</v>
      </c>
      <c r="AE14" s="483">
        <f t="shared" si="5"/>
        <v>0.5</v>
      </c>
      <c r="AF14" s="326"/>
      <c r="AG14" s="479"/>
      <c r="AH14" s="479"/>
      <c r="AI14" s="479"/>
    </row>
    <row r="15" spans="1:47" x14ac:dyDescent="0.25">
      <c r="N15">
        <f>N14+I9</f>
        <v>23208</v>
      </c>
      <c r="Z15" s="11">
        <v>13</v>
      </c>
      <c r="AA15" s="49">
        <f t="shared" si="2"/>
        <v>5.4975581388800036E-2</v>
      </c>
      <c r="AB15"/>
      <c r="AC15" s="11">
        <v>13</v>
      </c>
      <c r="AD15" s="482">
        <f t="shared" si="4"/>
        <v>7.6012220806520947E-3</v>
      </c>
      <c r="AE15" s="483">
        <f t="shared" si="5"/>
        <v>0.5</v>
      </c>
      <c r="AF15" s="326"/>
      <c r="AG15" s="479"/>
      <c r="AH15" s="479"/>
      <c r="AI15" s="479"/>
    </row>
    <row r="16" spans="1:47" x14ac:dyDescent="0.25">
      <c r="Z16" s="11">
        <v>14</v>
      </c>
      <c r="AA16" s="186">
        <f t="shared" si="2"/>
        <v>4.3980465111040035E-2</v>
      </c>
      <c r="AB16"/>
      <c r="AC16" s="11">
        <v>14</v>
      </c>
      <c r="AD16" s="482">
        <f t="shared" si="4"/>
        <v>3.8006110403260474E-3</v>
      </c>
      <c r="AE16" s="483">
        <f t="shared" si="5"/>
        <v>0.5</v>
      </c>
      <c r="AF16" s="481"/>
      <c r="AG16" s="479"/>
      <c r="AH16" s="479"/>
      <c r="AI16" s="479"/>
    </row>
    <row r="17" spans="1:35" x14ac:dyDescent="0.25">
      <c r="Z17" s="11">
        <v>15</v>
      </c>
      <c r="AA17" s="49">
        <f t="shared" si="2"/>
        <v>3.518437208883203E-2</v>
      </c>
      <c r="AB17"/>
      <c r="AC17" s="11">
        <v>15</v>
      </c>
      <c r="AD17" s="482">
        <f t="shared" si="4"/>
        <v>1.9003055201630237E-3</v>
      </c>
      <c r="AE17" s="483">
        <f t="shared" si="5"/>
        <v>0.5</v>
      </c>
      <c r="AF17" s="326"/>
      <c r="AG17" s="479"/>
      <c r="AH17" s="479"/>
      <c r="AI17" s="479"/>
    </row>
    <row r="18" spans="1:35" x14ac:dyDescent="0.25">
      <c r="A18" s="11" t="s">
        <v>575</v>
      </c>
      <c r="B18" s="11">
        <v>1</v>
      </c>
      <c r="C18" s="11">
        <f>B18*8</f>
        <v>8</v>
      </c>
      <c r="D18" s="11">
        <f>C18</f>
        <v>8</v>
      </c>
      <c r="Z18" s="11">
        <v>16</v>
      </c>
      <c r="AA18" s="186">
        <f t="shared" si="2"/>
        <v>2.8147497671065627E-2</v>
      </c>
      <c r="AB18"/>
      <c r="AC18" s="11">
        <v>16</v>
      </c>
      <c r="AD18" s="482">
        <f t="shared" si="4"/>
        <v>9.5015276008151184E-4</v>
      </c>
      <c r="AE18" s="483">
        <f t="shared" si="5"/>
        <v>0.5</v>
      </c>
      <c r="AF18" s="481"/>
      <c r="AG18" s="479"/>
      <c r="AH18" s="479"/>
      <c r="AI18" s="479"/>
    </row>
    <row r="19" spans="1:35" x14ac:dyDescent="0.25">
      <c r="A19" s="11" t="s">
        <v>576</v>
      </c>
      <c r="B19" s="11">
        <v>4</v>
      </c>
      <c r="C19" s="11">
        <f t="shared" ref="C19:C27" si="6">B19*8</f>
        <v>32</v>
      </c>
      <c r="D19" s="11">
        <f>D18+C19</f>
        <v>40</v>
      </c>
    </row>
    <row r="20" spans="1:35" x14ac:dyDescent="0.25">
      <c r="A20" s="11" t="s">
        <v>577</v>
      </c>
      <c r="B20" s="11">
        <v>16</v>
      </c>
      <c r="C20" s="11">
        <f t="shared" si="6"/>
        <v>128</v>
      </c>
      <c r="D20" s="11">
        <f t="shared" ref="D20:D27" si="7">D19+C20</f>
        <v>168</v>
      </c>
    </row>
    <row r="21" spans="1:35" x14ac:dyDescent="0.25">
      <c r="A21" s="11" t="s">
        <v>578</v>
      </c>
      <c r="B21" s="11">
        <v>64</v>
      </c>
      <c r="C21" s="11">
        <f t="shared" si="6"/>
        <v>512</v>
      </c>
      <c r="D21" s="11">
        <f t="shared" si="7"/>
        <v>680</v>
      </c>
    </row>
    <row r="22" spans="1:35" x14ac:dyDescent="0.25">
      <c r="A22" s="11" t="s">
        <v>579</v>
      </c>
      <c r="B22" s="11">
        <v>256</v>
      </c>
      <c r="C22" s="11">
        <f t="shared" si="6"/>
        <v>2048</v>
      </c>
      <c r="D22" s="11">
        <f t="shared" si="7"/>
        <v>2728</v>
      </c>
      <c r="H22" s="86">
        <v>62844</v>
      </c>
      <c r="I22" t="s">
        <v>592</v>
      </c>
    </row>
    <row r="23" spans="1:35" x14ac:dyDescent="0.25">
      <c r="A23" s="11" t="s">
        <v>580</v>
      </c>
      <c r="B23" s="11">
        <v>1024</v>
      </c>
      <c r="C23" s="11">
        <f t="shared" si="6"/>
        <v>8192</v>
      </c>
      <c r="D23" s="11">
        <f t="shared" si="7"/>
        <v>10920</v>
      </c>
      <c r="L23">
        <f t="shared" ref="L23:Y23" si="8">L25/2</f>
        <v>8192</v>
      </c>
      <c r="M23">
        <f t="shared" si="8"/>
        <v>4096</v>
      </c>
      <c r="N23">
        <f t="shared" si="8"/>
        <v>2048</v>
      </c>
      <c r="O23">
        <f t="shared" si="8"/>
        <v>1024</v>
      </c>
      <c r="P23">
        <f t="shared" si="8"/>
        <v>512</v>
      </c>
      <c r="Q23">
        <f t="shared" si="8"/>
        <v>256</v>
      </c>
      <c r="R23">
        <f t="shared" si="8"/>
        <v>128</v>
      </c>
      <c r="S23">
        <f t="shared" si="8"/>
        <v>64</v>
      </c>
      <c r="T23">
        <f t="shared" si="8"/>
        <v>32</v>
      </c>
      <c r="U23">
        <f t="shared" si="8"/>
        <v>16</v>
      </c>
      <c r="V23">
        <f t="shared" si="8"/>
        <v>8</v>
      </c>
      <c r="W23">
        <f t="shared" si="8"/>
        <v>4</v>
      </c>
      <c r="X23">
        <f t="shared" si="8"/>
        <v>2</v>
      </c>
      <c r="Y23">
        <f t="shared" si="8"/>
        <v>1</v>
      </c>
    </row>
    <row r="24" spans="1:35" x14ac:dyDescent="0.25">
      <c r="A24" s="11" t="s">
        <v>581</v>
      </c>
      <c r="B24" s="11">
        <v>1024</v>
      </c>
      <c r="C24" s="11">
        <f t="shared" si="6"/>
        <v>8192</v>
      </c>
      <c r="D24" s="11">
        <f t="shared" si="7"/>
        <v>19112</v>
      </c>
      <c r="L24">
        <v>1</v>
      </c>
      <c r="M24">
        <v>2</v>
      </c>
      <c r="N24">
        <v>3</v>
      </c>
      <c r="O24">
        <v>4</v>
      </c>
      <c r="P24">
        <v>5</v>
      </c>
      <c r="Q24">
        <v>6</v>
      </c>
      <c r="R24">
        <v>7</v>
      </c>
      <c r="S24">
        <v>8</v>
      </c>
      <c r="T24">
        <v>9</v>
      </c>
      <c r="U24">
        <v>10</v>
      </c>
      <c r="V24">
        <v>11</v>
      </c>
      <c r="W24">
        <v>12</v>
      </c>
      <c r="X24">
        <v>13</v>
      </c>
      <c r="Y24">
        <v>14</v>
      </c>
    </row>
    <row r="25" spans="1:35" x14ac:dyDescent="0.25">
      <c r="A25" s="11" t="s">
        <v>582</v>
      </c>
      <c r="B25" s="11">
        <v>2048</v>
      </c>
      <c r="C25" s="11">
        <f t="shared" si="6"/>
        <v>16384</v>
      </c>
      <c r="D25" s="11">
        <f t="shared" si="7"/>
        <v>35496</v>
      </c>
      <c r="E25">
        <f>D25-B33</f>
        <v>2728</v>
      </c>
      <c r="F25">
        <f>E25-2048</f>
        <v>680</v>
      </c>
      <c r="L25">
        <v>16384</v>
      </c>
      <c r="M25">
        <f>L25/2</f>
        <v>8192</v>
      </c>
      <c r="N25">
        <f>M25/2</f>
        <v>4096</v>
      </c>
      <c r="O25">
        <f t="shared" ref="O25:T25" si="9">N25/2</f>
        <v>2048</v>
      </c>
      <c r="P25">
        <f t="shared" si="9"/>
        <v>1024</v>
      </c>
      <c r="Q25">
        <f t="shared" si="9"/>
        <v>512</v>
      </c>
      <c r="R25">
        <f t="shared" si="9"/>
        <v>256</v>
      </c>
      <c r="S25">
        <f t="shared" si="9"/>
        <v>128</v>
      </c>
      <c r="T25">
        <f t="shared" si="9"/>
        <v>64</v>
      </c>
      <c r="U25">
        <f t="shared" ref="U25:Z25" si="10">T25/2</f>
        <v>32</v>
      </c>
      <c r="V25">
        <f t="shared" si="10"/>
        <v>16</v>
      </c>
      <c r="W25">
        <f t="shared" si="10"/>
        <v>8</v>
      </c>
      <c r="X25">
        <f t="shared" si="10"/>
        <v>4</v>
      </c>
      <c r="Y25">
        <f t="shared" si="10"/>
        <v>2</v>
      </c>
      <c r="Z25">
        <f t="shared" si="10"/>
        <v>1</v>
      </c>
    </row>
    <row r="26" spans="1:35" x14ac:dyDescent="0.25">
      <c r="A26" s="11" t="s">
        <v>583</v>
      </c>
      <c r="B26" s="11">
        <v>2048</v>
      </c>
      <c r="C26" s="11">
        <f t="shared" si="6"/>
        <v>16384</v>
      </c>
      <c r="D26" s="11">
        <f t="shared" si="7"/>
        <v>51880</v>
      </c>
    </row>
    <row r="27" spans="1:35" x14ac:dyDescent="0.25">
      <c r="A27" s="11" t="s">
        <v>584</v>
      </c>
      <c r="B27" s="11">
        <v>4096</v>
      </c>
      <c r="C27" s="11">
        <f t="shared" si="6"/>
        <v>32768</v>
      </c>
      <c r="D27" s="11">
        <f t="shared" si="7"/>
        <v>84648</v>
      </c>
      <c r="E27">
        <f>D26+4096</f>
        <v>55976</v>
      </c>
      <c r="F27">
        <f>E27+4096</f>
        <v>60072</v>
      </c>
      <c r="G27">
        <f>F27+4096</f>
        <v>64168</v>
      </c>
    </row>
    <row r="28" spans="1:35" x14ac:dyDescent="0.25">
      <c r="A28" s="50"/>
      <c r="B28" s="50"/>
      <c r="C28" s="50"/>
      <c r="D28" s="50"/>
    </row>
    <row r="29" spans="1:35" x14ac:dyDescent="0.25">
      <c r="A29" s="50"/>
      <c r="B29" s="50"/>
      <c r="C29" s="50"/>
      <c r="D29" s="50"/>
    </row>
    <row r="30" spans="1:35" x14ac:dyDescent="0.25">
      <c r="C30">
        <v>15</v>
      </c>
      <c r="D30">
        <v>14</v>
      </c>
      <c r="E30">
        <v>13</v>
      </c>
      <c r="F30">
        <v>12</v>
      </c>
      <c r="G30">
        <v>11</v>
      </c>
      <c r="H30">
        <v>10</v>
      </c>
      <c r="I30">
        <v>9</v>
      </c>
      <c r="J30">
        <v>8</v>
      </c>
      <c r="K30">
        <v>7</v>
      </c>
      <c r="L30">
        <v>6</v>
      </c>
      <c r="M30">
        <v>5</v>
      </c>
      <c r="N30">
        <v>4</v>
      </c>
      <c r="O30">
        <v>3</v>
      </c>
      <c r="P30">
        <v>2</v>
      </c>
      <c r="Q30">
        <v>1</v>
      </c>
    </row>
    <row r="31" spans="1:35" x14ac:dyDescent="0.25">
      <c r="B31">
        <v>1</v>
      </c>
      <c r="C31">
        <v>1</v>
      </c>
      <c r="D31">
        <v>2</v>
      </c>
      <c r="E31">
        <v>3</v>
      </c>
      <c r="F31">
        <v>4</v>
      </c>
      <c r="G31">
        <v>5</v>
      </c>
      <c r="H31">
        <v>6</v>
      </c>
      <c r="I31">
        <v>7</v>
      </c>
      <c r="J31">
        <v>8</v>
      </c>
      <c r="K31">
        <v>9</v>
      </c>
      <c r="L31">
        <v>10</v>
      </c>
      <c r="M31">
        <v>11</v>
      </c>
      <c r="N31">
        <v>12</v>
      </c>
      <c r="O31">
        <v>13</v>
      </c>
      <c r="P31">
        <v>14</v>
      </c>
      <c r="Q31">
        <v>15</v>
      </c>
      <c r="R31">
        <v>16</v>
      </c>
    </row>
    <row r="32" spans="1:35" x14ac:dyDescent="0.25">
      <c r="B32">
        <v>32768</v>
      </c>
      <c r="C32">
        <f>B33/2</f>
        <v>16384</v>
      </c>
      <c r="D32">
        <f>C32/2</f>
        <v>8192</v>
      </c>
      <c r="E32">
        <f t="shared" ref="E32:P32" si="11">D32/2</f>
        <v>4096</v>
      </c>
      <c r="F32">
        <f t="shared" si="11"/>
        <v>2048</v>
      </c>
      <c r="G32">
        <f t="shared" si="11"/>
        <v>1024</v>
      </c>
      <c r="H32">
        <f>G32/2</f>
        <v>512</v>
      </c>
      <c r="I32">
        <f t="shared" si="11"/>
        <v>256</v>
      </c>
      <c r="J32">
        <f t="shared" si="11"/>
        <v>128</v>
      </c>
      <c r="K32">
        <f>J32/2</f>
        <v>64</v>
      </c>
      <c r="L32">
        <f t="shared" si="11"/>
        <v>32</v>
      </c>
      <c r="M32">
        <f t="shared" si="11"/>
        <v>16</v>
      </c>
      <c r="N32">
        <f>M32/2</f>
        <v>8</v>
      </c>
      <c r="O32">
        <f t="shared" si="11"/>
        <v>4</v>
      </c>
      <c r="P32">
        <f t="shared" si="11"/>
        <v>2</v>
      </c>
      <c r="Q32">
        <f>P32/2</f>
        <v>1</v>
      </c>
    </row>
    <row r="33" spans="1:16" x14ac:dyDescent="0.25">
      <c r="A33" t="s">
        <v>585</v>
      </c>
      <c r="B33">
        <v>32768</v>
      </c>
      <c r="C33">
        <f>B33/2</f>
        <v>16384</v>
      </c>
      <c r="D33">
        <f>19022</f>
        <v>19022</v>
      </c>
      <c r="E33">
        <f>D33-C33</f>
        <v>2638</v>
      </c>
      <c r="F33">
        <f>C33-E33</f>
        <v>13746</v>
      </c>
      <c r="G33">
        <f t="shared" ref="G33:L33" si="12">D33-F33</f>
        <v>5276</v>
      </c>
      <c r="H33">
        <f t="shared" si="12"/>
        <v>-2638</v>
      </c>
      <c r="I33">
        <f t="shared" si="12"/>
        <v>16384</v>
      </c>
      <c r="J33">
        <f t="shared" si="12"/>
        <v>-11108</v>
      </c>
      <c r="K33">
        <f t="shared" si="12"/>
        <v>8470</v>
      </c>
      <c r="L33">
        <f t="shared" si="12"/>
        <v>7914</v>
      </c>
    </row>
    <row r="34" spans="1:16" x14ac:dyDescent="0.25">
      <c r="A34" t="s">
        <v>586</v>
      </c>
      <c r="B34" t="s">
        <v>587</v>
      </c>
      <c r="G34" t="s">
        <v>588</v>
      </c>
      <c r="J34" t="s">
        <v>589</v>
      </c>
    </row>
    <row r="36" spans="1:16" x14ac:dyDescent="0.25">
      <c r="A36" t="s">
        <v>590</v>
      </c>
      <c r="G36">
        <f>B33-32767</f>
        <v>1</v>
      </c>
    </row>
    <row r="37" spans="1:16" x14ac:dyDescent="0.25">
      <c r="A37" t="s">
        <v>591</v>
      </c>
    </row>
    <row r="38" spans="1:16" x14ac:dyDescent="0.25">
      <c r="A38" t="s">
        <v>593</v>
      </c>
      <c r="K38">
        <f>B33-31538</f>
        <v>1230</v>
      </c>
      <c r="L38">
        <f>K38-256</f>
        <v>974</v>
      </c>
      <c r="M38">
        <f>L38-256</f>
        <v>718</v>
      </c>
      <c r="N38">
        <f>M38-256</f>
        <v>462</v>
      </c>
      <c r="O38">
        <f>N38-256</f>
        <v>206</v>
      </c>
      <c r="P38">
        <f>O38-256</f>
        <v>-50</v>
      </c>
    </row>
    <row r="40" spans="1:16" x14ac:dyDescent="0.25">
      <c r="A40" t="s">
        <v>594</v>
      </c>
      <c r="K40">
        <v>1231</v>
      </c>
    </row>
    <row r="41" spans="1:16" x14ac:dyDescent="0.25">
      <c r="A41" t="s">
        <v>595</v>
      </c>
    </row>
    <row r="44" spans="1:16" x14ac:dyDescent="0.25">
      <c r="A44" t="s">
        <v>810</v>
      </c>
    </row>
    <row r="45" spans="1:16" x14ac:dyDescent="0.25">
      <c r="A45" t="s">
        <v>811</v>
      </c>
    </row>
    <row r="46" spans="1:16" x14ac:dyDescent="0.25">
      <c r="A46" t="s">
        <v>812</v>
      </c>
    </row>
    <row r="47" spans="1:16" x14ac:dyDescent="0.25">
      <c r="A47" t="s">
        <v>813</v>
      </c>
    </row>
    <row r="48" spans="1:16" x14ac:dyDescent="0.25">
      <c r="A48" t="s">
        <v>814</v>
      </c>
    </row>
    <row r="49" spans="1:1" x14ac:dyDescent="0.25">
      <c r="A49" t="s">
        <v>815</v>
      </c>
    </row>
    <row r="50" spans="1:1" x14ac:dyDescent="0.25">
      <c r="A50" t="s">
        <v>816</v>
      </c>
    </row>
  </sheetData>
  <pageMargins left="0.7" right="0.7" top="0.75" bottom="0.75" header="0.3" footer="0.3"/>
  <pageSetup paperSize="9"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R21"/>
  <sheetViews>
    <sheetView workbookViewId="0">
      <selection activeCell="Q18" sqref="Q18:Q21"/>
    </sheetView>
  </sheetViews>
  <sheetFormatPr baseColWidth="10" defaultColWidth="11.42578125" defaultRowHeight="15" x14ac:dyDescent="0.25"/>
  <sheetData>
    <row r="1" spans="1:18" ht="15.75" x14ac:dyDescent="0.25">
      <c r="A1" s="548" t="s">
        <v>2552</v>
      </c>
      <c r="K1" s="547" t="s">
        <v>2560</v>
      </c>
    </row>
    <row r="2" spans="1:18" x14ac:dyDescent="0.25">
      <c r="A2" s="697"/>
      <c r="K2" s="697"/>
    </row>
    <row r="3" spans="1:18" x14ac:dyDescent="0.25">
      <c r="A3" s="697"/>
      <c r="K3" s="697"/>
    </row>
    <row r="16" spans="1:18" x14ac:dyDescent="0.25">
      <c r="G16" s="2" t="s">
        <v>2558</v>
      </c>
      <c r="H16" s="2" t="s">
        <v>2559</v>
      </c>
      <c r="Q16" s="2" t="s">
        <v>2558</v>
      </c>
      <c r="R16" s="2" t="s">
        <v>2559</v>
      </c>
    </row>
    <row r="17" spans="1:18" x14ac:dyDescent="0.25">
      <c r="A17" t="s">
        <v>2553</v>
      </c>
      <c r="B17">
        <v>315.39999999999998</v>
      </c>
      <c r="C17">
        <v>319.89999999999998</v>
      </c>
      <c r="D17">
        <v>40755</v>
      </c>
      <c r="E17">
        <v>9315.7000000000007</v>
      </c>
      <c r="F17">
        <v>8668.9</v>
      </c>
      <c r="G17" s="698">
        <f>1/B17+1/C17</f>
        <v>6.2965539127933729E-3</v>
      </c>
      <c r="H17" s="698">
        <f>1/F17+1/D17+1/E17</f>
        <v>2.4723741973102541E-4</v>
      </c>
      <c r="I17" s="633"/>
      <c r="J17" s="633"/>
      <c r="K17" s="633" t="s">
        <v>2561</v>
      </c>
      <c r="L17">
        <v>92</v>
      </c>
      <c r="M17">
        <v>17</v>
      </c>
      <c r="N17">
        <v>3727</v>
      </c>
      <c r="O17">
        <v>227</v>
      </c>
      <c r="P17">
        <v>3899</v>
      </c>
      <c r="Q17" s="698">
        <f>1/L17+1/M17</f>
        <v>6.9693094629156016E-2</v>
      </c>
      <c r="R17" s="698">
        <f>1/P17+1/N17+1/O17</f>
        <v>4.9300746786397958E-3</v>
      </c>
    </row>
    <row r="18" spans="1:18" x14ac:dyDescent="0.25">
      <c r="A18" t="s">
        <v>2554</v>
      </c>
      <c r="B18">
        <v>60.4</v>
      </c>
      <c r="C18">
        <v>78.099999999999994</v>
      </c>
      <c r="D18">
        <v>3663.1</v>
      </c>
      <c r="E18">
        <v>2641.4</v>
      </c>
      <c r="F18">
        <v>1166.9000000000001</v>
      </c>
      <c r="G18" s="698">
        <f t="shared" ref="G18:G21" si="0">1/B18+1/C18</f>
        <v>2.9360388701868044E-2</v>
      </c>
      <c r="H18" s="698">
        <f t="shared" ref="H18:H21" si="1">1/F18+1/D18+1/E18</f>
        <v>1.5085513960337905E-3</v>
      </c>
      <c r="I18" s="633"/>
      <c r="J18" s="633"/>
      <c r="K18" s="633" t="s">
        <v>2562</v>
      </c>
      <c r="L18">
        <v>79</v>
      </c>
      <c r="M18">
        <v>333</v>
      </c>
      <c r="N18">
        <v>14360</v>
      </c>
      <c r="O18">
        <v>9526</v>
      </c>
      <c r="P18">
        <v>1543</v>
      </c>
      <c r="Q18" s="698">
        <f t="shared" ref="Q18:Q21" si="2">1/L18+1/M18</f>
        <v>1.5661230851104269E-2</v>
      </c>
      <c r="R18" s="698">
        <f t="shared" ref="R18:R21" si="3">1/P18+1/N18+1/O18</f>
        <v>8.2270187854861755E-4</v>
      </c>
    </row>
    <row r="19" spans="1:18" x14ac:dyDescent="0.25">
      <c r="A19" t="s">
        <v>2555</v>
      </c>
      <c r="B19">
        <v>24.4</v>
      </c>
      <c r="C19">
        <v>1988.3</v>
      </c>
      <c r="D19">
        <v>646.20000000000005</v>
      </c>
      <c r="E19">
        <v>1247.7</v>
      </c>
      <c r="F19">
        <v>464.6</v>
      </c>
      <c r="G19" s="698">
        <f t="shared" si="0"/>
        <v>4.14865487693169E-2</v>
      </c>
      <c r="H19" s="698">
        <f t="shared" si="1"/>
        <v>4.5013723767282753E-3</v>
      </c>
      <c r="I19" s="633"/>
      <c r="J19" s="633"/>
      <c r="K19" s="633" t="s">
        <v>2563</v>
      </c>
      <c r="L19">
        <v>77</v>
      </c>
      <c r="M19">
        <v>89</v>
      </c>
      <c r="N19">
        <v>24647</v>
      </c>
      <c r="O19">
        <v>2776</v>
      </c>
      <c r="P19">
        <v>1531</v>
      </c>
      <c r="Q19" s="698">
        <f t="shared" si="2"/>
        <v>2.4222968043192763E-2</v>
      </c>
      <c r="R19" s="698">
        <f t="shared" si="3"/>
        <v>1.0539713008869561E-3</v>
      </c>
    </row>
    <row r="20" spans="1:18" x14ac:dyDescent="0.25">
      <c r="A20" t="s">
        <v>2556</v>
      </c>
      <c r="B20">
        <v>13.2</v>
      </c>
      <c r="C20">
        <v>49.9</v>
      </c>
      <c r="D20">
        <v>213.2</v>
      </c>
      <c r="E20">
        <v>747.2</v>
      </c>
      <c r="F20">
        <v>249.1</v>
      </c>
      <c r="G20" s="698">
        <f t="shared" si="0"/>
        <v>9.5797655917896407E-2</v>
      </c>
      <c r="H20" s="698">
        <f t="shared" si="1"/>
        <v>1.0043213311452047E-2</v>
      </c>
      <c r="I20" s="633"/>
      <c r="J20" s="633"/>
      <c r="K20" s="633" t="s">
        <v>2564</v>
      </c>
      <c r="L20">
        <v>82</v>
      </c>
      <c r="M20">
        <v>57</v>
      </c>
      <c r="N20">
        <v>1265</v>
      </c>
      <c r="O20">
        <v>1380</v>
      </c>
      <c r="P20">
        <v>1452</v>
      </c>
      <c r="Q20" s="698">
        <f t="shared" si="2"/>
        <v>2.9738981600342319E-2</v>
      </c>
      <c r="R20" s="698">
        <f t="shared" si="3"/>
        <v>2.203856749311295E-3</v>
      </c>
    </row>
    <row r="21" spans="1:18" x14ac:dyDescent="0.25">
      <c r="A21" t="s">
        <v>2557</v>
      </c>
      <c r="B21">
        <v>8.6</v>
      </c>
      <c r="C21">
        <v>48.2</v>
      </c>
      <c r="D21">
        <v>105.1</v>
      </c>
      <c r="E21">
        <v>608.5</v>
      </c>
      <c r="F21">
        <v>161</v>
      </c>
      <c r="G21" s="698">
        <f t="shared" si="0"/>
        <v>0.13702595773424683</v>
      </c>
      <c r="H21" s="698">
        <f t="shared" si="1"/>
        <v>1.7369313357275505E-2</v>
      </c>
      <c r="I21" s="633"/>
      <c r="J21" s="633"/>
      <c r="K21" s="633" t="s">
        <v>2565</v>
      </c>
      <c r="L21">
        <v>92</v>
      </c>
      <c r="M21">
        <v>1989</v>
      </c>
      <c r="N21">
        <v>1383</v>
      </c>
      <c r="O21">
        <v>652</v>
      </c>
      <c r="P21">
        <v>2286</v>
      </c>
      <c r="Q21" s="698">
        <f t="shared" si="2"/>
        <v>1.1372330426038866E-2</v>
      </c>
      <c r="R21" s="698">
        <f t="shared" si="3"/>
        <v>2.6942534496111345E-3</v>
      </c>
    </row>
  </sheetData>
  <pageMargins left="0.7" right="0.7" top="0.75" bottom="0.75" header="0.3" footer="0.3"/>
  <pageSetup paperSize="9" orientation="portrait" horizontalDpi="300" verticalDpi="300"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topLeftCell="A22" workbookViewId="0">
      <selection activeCell="C40" sqref="C40"/>
    </sheetView>
  </sheetViews>
  <sheetFormatPr baseColWidth="10" defaultColWidth="11.42578125" defaultRowHeight="15" x14ac:dyDescent="0.25"/>
  <cols>
    <col min="2" max="2" width="11.85546875" bestFit="1" customWidth="1"/>
  </cols>
  <sheetData>
    <row r="1" spans="1:1" x14ac:dyDescent="0.25">
      <c r="A1" t="s">
        <v>2000</v>
      </c>
    </row>
    <row r="3" spans="1:1" x14ac:dyDescent="0.25">
      <c r="A3" t="s">
        <v>2001</v>
      </c>
    </row>
    <row r="5" spans="1:1" x14ac:dyDescent="0.25">
      <c r="A5" t="s">
        <v>2002</v>
      </c>
    </row>
    <row r="7" spans="1:1" x14ac:dyDescent="0.25">
      <c r="A7" t="s">
        <v>2003</v>
      </c>
    </row>
    <row r="8" spans="1:1" x14ac:dyDescent="0.25">
      <c r="A8" t="s">
        <v>2004</v>
      </c>
    </row>
    <row r="9" spans="1:1" x14ac:dyDescent="0.25">
      <c r="A9" t="s">
        <v>2005</v>
      </c>
    </row>
    <row r="10" spans="1:1" x14ac:dyDescent="0.25">
      <c r="A10" s="566">
        <v>43374</v>
      </c>
    </row>
    <row r="11" spans="1:1" x14ac:dyDescent="0.25">
      <c r="A11" s="566">
        <v>42979</v>
      </c>
    </row>
    <row r="12" spans="1:1" x14ac:dyDescent="0.25">
      <c r="A12" s="566">
        <v>42583</v>
      </c>
    </row>
    <row r="13" spans="1:1" x14ac:dyDescent="0.25">
      <c r="A13" s="566">
        <v>42186</v>
      </c>
    </row>
    <row r="14" spans="1:1" x14ac:dyDescent="0.25">
      <c r="A14" s="566">
        <v>41426</v>
      </c>
    </row>
    <row r="15" spans="1:1" x14ac:dyDescent="0.25">
      <c r="A15" s="567">
        <v>41948</v>
      </c>
    </row>
    <row r="16" spans="1:1" x14ac:dyDescent="0.25">
      <c r="A16" s="567">
        <v>41886</v>
      </c>
    </row>
    <row r="17" spans="1:1" x14ac:dyDescent="0.25">
      <c r="A17" s="567">
        <v>41823</v>
      </c>
    </row>
    <row r="18" spans="1:1" x14ac:dyDescent="0.25">
      <c r="A18" s="567">
        <v>41761</v>
      </c>
    </row>
    <row r="20" spans="1:1" x14ac:dyDescent="0.25">
      <c r="A20" t="s">
        <v>2006</v>
      </c>
    </row>
    <row r="22" spans="1:1" x14ac:dyDescent="0.25">
      <c r="A22" t="s">
        <v>2007</v>
      </c>
    </row>
    <row r="24" spans="1:1" x14ac:dyDescent="0.25">
      <c r="A24" s="1" t="s">
        <v>2008</v>
      </c>
    </row>
    <row r="25" spans="1:1" x14ac:dyDescent="0.25">
      <c r="A25" s="1" t="s">
        <v>2009</v>
      </c>
    </row>
    <row r="26" spans="1:1" x14ac:dyDescent="0.25">
      <c r="A26" s="1" t="s">
        <v>2010</v>
      </c>
    </row>
    <row r="27" spans="1:1" x14ac:dyDescent="0.25">
      <c r="A27" s="1"/>
    </row>
    <row r="28" spans="1:1" x14ac:dyDescent="0.25">
      <c r="A28" s="1" t="s">
        <v>2011</v>
      </c>
    </row>
    <row r="29" spans="1:1" x14ac:dyDescent="0.25">
      <c r="A29" s="1" t="s">
        <v>2012</v>
      </c>
    </row>
    <row r="30" spans="1:1" x14ac:dyDescent="0.25">
      <c r="A30" s="1"/>
    </row>
    <row r="31" spans="1:1" x14ac:dyDescent="0.25">
      <c r="A31" s="1" t="s">
        <v>2013</v>
      </c>
    </row>
    <row r="33" spans="1:2" x14ac:dyDescent="0.25">
      <c r="A33" t="s">
        <v>2014</v>
      </c>
    </row>
    <row r="34" spans="1:2" x14ac:dyDescent="0.25">
      <c r="A34" t="s">
        <v>2015</v>
      </c>
    </row>
    <row r="36" spans="1:2" x14ac:dyDescent="0.25">
      <c r="A36" t="s">
        <v>2016</v>
      </c>
    </row>
    <row r="37" spans="1:2" x14ac:dyDescent="0.25">
      <c r="A37" t="s">
        <v>2017</v>
      </c>
    </row>
    <row r="43" spans="1:2" x14ac:dyDescent="0.25">
      <c r="A43">
        <v>1</v>
      </c>
      <c r="B43">
        <f t="shared" ref="B43:B69" si="0">LOG(A43)*4/3</f>
        <v>0</v>
      </c>
    </row>
    <row r="44" spans="1:2" x14ac:dyDescent="0.25">
      <c r="A44">
        <v>1.5</v>
      </c>
      <c r="B44">
        <f t="shared" si="0"/>
        <v>0.23478834540757498</v>
      </c>
    </row>
    <row r="45" spans="1:2" x14ac:dyDescent="0.25">
      <c r="A45">
        <v>2</v>
      </c>
      <c r="B45">
        <f t="shared" si="0"/>
        <v>0.40137332755197491</v>
      </c>
    </row>
    <row r="46" spans="1:2" x14ac:dyDescent="0.25">
      <c r="A46">
        <v>2.5</v>
      </c>
      <c r="B46">
        <f t="shared" si="0"/>
        <v>0.53058667822938343</v>
      </c>
    </row>
    <row r="47" spans="1:2" x14ac:dyDescent="0.25">
      <c r="A47">
        <v>3</v>
      </c>
      <c r="B47">
        <f t="shared" si="0"/>
        <v>0.63616167295954995</v>
      </c>
    </row>
    <row r="48" spans="1:2" x14ac:dyDescent="0.25">
      <c r="A48">
        <v>3.5</v>
      </c>
      <c r="B48">
        <f t="shared" si="0"/>
        <v>0.72542405913370089</v>
      </c>
    </row>
    <row r="49" spans="1:2" x14ac:dyDescent="0.25">
      <c r="A49">
        <v>4</v>
      </c>
      <c r="B49">
        <f t="shared" si="0"/>
        <v>0.80274665510394982</v>
      </c>
    </row>
    <row r="50" spans="1:2" x14ac:dyDescent="0.25">
      <c r="A50">
        <v>4.5</v>
      </c>
      <c r="B50">
        <f t="shared" si="0"/>
        <v>0.87095001836712493</v>
      </c>
    </row>
    <row r="51" spans="1:2" x14ac:dyDescent="0.25">
      <c r="A51">
        <v>5</v>
      </c>
      <c r="B51">
        <f t="shared" si="0"/>
        <v>0.93196000578135851</v>
      </c>
    </row>
    <row r="52" spans="1:2" x14ac:dyDescent="0.25">
      <c r="A52">
        <v>5.5</v>
      </c>
      <c r="B52">
        <f t="shared" si="0"/>
        <v>0.98715025265899181</v>
      </c>
    </row>
    <row r="53" spans="1:2" x14ac:dyDescent="0.25">
      <c r="A53">
        <v>6</v>
      </c>
      <c r="B53">
        <f t="shared" si="0"/>
        <v>1.0375350005115249</v>
      </c>
    </row>
    <row r="54" spans="1:2" x14ac:dyDescent="0.25">
      <c r="A54">
        <v>6.5</v>
      </c>
      <c r="B54">
        <f t="shared" si="0"/>
        <v>1.0838844755238075</v>
      </c>
    </row>
    <row r="55" spans="1:2" x14ac:dyDescent="0.25">
      <c r="A55">
        <v>7</v>
      </c>
      <c r="B55">
        <f t="shared" si="0"/>
        <v>1.1267973866856758</v>
      </c>
    </row>
    <row r="56" spans="1:2" x14ac:dyDescent="0.25">
      <c r="A56">
        <v>7.5</v>
      </c>
      <c r="B56">
        <f t="shared" si="0"/>
        <v>1.1667483511889334</v>
      </c>
    </row>
    <row r="57" spans="1:2" x14ac:dyDescent="0.25">
      <c r="A57">
        <v>8</v>
      </c>
      <c r="B57">
        <f t="shared" si="0"/>
        <v>1.2041199826559248</v>
      </c>
    </row>
    <row r="58" spans="1:2" x14ac:dyDescent="0.25">
      <c r="A58">
        <v>8.5</v>
      </c>
      <c r="B58">
        <f t="shared" si="0"/>
        <v>1.2392252342857237</v>
      </c>
    </row>
    <row r="59" spans="1:2" x14ac:dyDescent="0.25">
      <c r="A59">
        <v>9</v>
      </c>
      <c r="B59">
        <f t="shared" si="0"/>
        <v>1.2723233459190999</v>
      </c>
    </row>
    <row r="60" spans="1:2" x14ac:dyDescent="0.25">
      <c r="A60">
        <v>9.5</v>
      </c>
      <c r="B60">
        <f t="shared" si="0"/>
        <v>1.3036314737184636</v>
      </c>
    </row>
    <row r="61" spans="1:2" x14ac:dyDescent="0.25">
      <c r="A61">
        <v>10</v>
      </c>
      <c r="B61">
        <f t="shared" si="0"/>
        <v>1.3333333333333333</v>
      </c>
    </row>
    <row r="62" spans="1:2" x14ac:dyDescent="0.25">
      <c r="A62">
        <v>10.5</v>
      </c>
      <c r="B62">
        <f t="shared" si="0"/>
        <v>1.3615857320932507</v>
      </c>
    </row>
    <row r="63" spans="1:2" x14ac:dyDescent="0.25">
      <c r="A63">
        <v>11</v>
      </c>
      <c r="B63">
        <f t="shared" si="0"/>
        <v>1.3885235802109668</v>
      </c>
    </row>
    <row r="64" spans="1:2" x14ac:dyDescent="0.25">
      <c r="A64">
        <v>11.5</v>
      </c>
      <c r="B64">
        <f t="shared" si="0"/>
        <v>1.4142637871381487</v>
      </c>
    </row>
    <row r="65" spans="1:2" x14ac:dyDescent="0.25">
      <c r="A65">
        <v>12</v>
      </c>
      <c r="B65">
        <f t="shared" si="0"/>
        <v>1.4389083280634998</v>
      </c>
    </row>
    <row r="66" spans="1:2" x14ac:dyDescent="0.25">
      <c r="A66">
        <v>12.5</v>
      </c>
      <c r="B66">
        <f t="shared" si="0"/>
        <v>1.4625466840107419</v>
      </c>
    </row>
    <row r="67" spans="1:2" x14ac:dyDescent="0.25">
      <c r="A67">
        <v>13</v>
      </c>
      <c r="B67">
        <f t="shared" si="0"/>
        <v>1.4852578030757824</v>
      </c>
    </row>
    <row r="68" spans="1:2" x14ac:dyDescent="0.25">
      <c r="A68">
        <v>13.5</v>
      </c>
      <c r="B68">
        <f t="shared" si="0"/>
        <v>1.5071116913266749</v>
      </c>
    </row>
    <row r="69" spans="1:2" x14ac:dyDescent="0.25">
      <c r="A69">
        <v>14</v>
      </c>
      <c r="B69">
        <f t="shared" si="0"/>
        <v>1.5281707142376506</v>
      </c>
    </row>
  </sheetData>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J1:V39"/>
  <sheetViews>
    <sheetView topLeftCell="A13" workbookViewId="0">
      <selection activeCell="S2" sqref="S2"/>
    </sheetView>
  </sheetViews>
  <sheetFormatPr baseColWidth="10" defaultColWidth="11.42578125" defaultRowHeight="15" x14ac:dyDescent="0.25"/>
  <cols>
    <col min="10" max="10" width="6.28515625" customWidth="1"/>
    <col min="11" max="11" width="13.5703125" bestFit="1" customWidth="1"/>
    <col min="12" max="12" width="13.140625" bestFit="1" customWidth="1"/>
  </cols>
  <sheetData>
    <row r="1" spans="10:22" ht="19.5" customHeight="1" x14ac:dyDescent="0.25">
      <c r="J1" s="158" t="s">
        <v>725</v>
      </c>
    </row>
    <row r="2" spans="10:22" ht="19.5" customHeight="1" x14ac:dyDescent="0.25">
      <c r="J2" s="158" t="s">
        <v>726</v>
      </c>
      <c r="Q2">
        <v>41560</v>
      </c>
      <c r="R2">
        <v>53840</v>
      </c>
      <c r="S2">
        <v>41800</v>
      </c>
      <c r="T2">
        <f>(R2-Q2)</f>
        <v>12280</v>
      </c>
      <c r="U2">
        <f>S2-Q2</f>
        <v>240</v>
      </c>
      <c r="V2">
        <f>U2/T2</f>
        <v>1.9543973941368076E-2</v>
      </c>
    </row>
    <row r="3" spans="10:22" ht="19.5" customHeight="1" x14ac:dyDescent="0.25">
      <c r="J3" s="158" t="s">
        <v>727</v>
      </c>
      <c r="Q3">
        <v>1165</v>
      </c>
      <c r="R3">
        <v>2045</v>
      </c>
      <c r="S3">
        <v>1165</v>
      </c>
    </row>
    <row r="4" spans="10:22" ht="19.5" customHeight="1" x14ac:dyDescent="0.25">
      <c r="J4" s="158" t="s">
        <v>728</v>
      </c>
      <c r="Q4">
        <v>3.7</v>
      </c>
      <c r="R4">
        <v>4.3</v>
      </c>
      <c r="S4">
        <v>3.7</v>
      </c>
    </row>
    <row r="5" spans="10:22" ht="19.5" customHeight="1" x14ac:dyDescent="0.25">
      <c r="J5" s="158" t="s">
        <v>729</v>
      </c>
      <c r="Q5">
        <f>(Q2+Q3)*(1+Q4/100)</f>
        <v>44305.824999999997</v>
      </c>
      <c r="R5">
        <f>(R2+R3)*(1+R4/100)</f>
        <v>58288.054999999993</v>
      </c>
      <c r="S5">
        <f>(S2+S3)*(1+S4/100)</f>
        <v>44554.704999999994</v>
      </c>
      <c r="T5">
        <v>44530</v>
      </c>
    </row>
    <row r="6" spans="10:22" ht="19.5" customHeight="1" x14ac:dyDescent="0.25">
      <c r="J6" s="158" t="s">
        <v>730</v>
      </c>
    </row>
    <row r="7" spans="10:22" ht="19.5" customHeight="1" x14ac:dyDescent="0.25">
      <c r="J7" s="158" t="s">
        <v>731</v>
      </c>
    </row>
    <row r="8" spans="10:22" ht="19.5" customHeight="1" x14ac:dyDescent="0.25">
      <c r="J8" s="158" t="s">
        <v>732</v>
      </c>
    </row>
    <row r="9" spans="10:22" ht="19.5" customHeight="1" x14ac:dyDescent="0.25">
      <c r="J9" s="158" t="s">
        <v>733</v>
      </c>
    </row>
    <row r="10" spans="10:22" ht="19.5" customHeight="1" x14ac:dyDescent="0.25">
      <c r="J10" s="158" t="s">
        <v>734</v>
      </c>
    </row>
    <row r="11" spans="10:22" ht="19.5" customHeight="1" x14ac:dyDescent="0.25">
      <c r="J11" s="158" t="s">
        <v>735</v>
      </c>
    </row>
    <row r="12" spans="10:22" ht="19.5" customHeight="1" x14ac:dyDescent="0.25">
      <c r="J12" s="158" t="s">
        <v>736</v>
      </c>
    </row>
    <row r="13" spans="10:22" ht="19.5" customHeight="1" x14ac:dyDescent="0.25">
      <c r="J13" s="158" t="s">
        <v>737</v>
      </c>
    </row>
    <row r="14" spans="10:22" ht="19.5" customHeight="1" x14ac:dyDescent="0.25">
      <c r="J14" s="158" t="s">
        <v>738</v>
      </c>
    </row>
    <row r="15" spans="10:22" ht="19.5" customHeight="1" x14ac:dyDescent="0.25">
      <c r="J15" s="158" t="s">
        <v>739</v>
      </c>
    </row>
    <row r="16" spans="10:22" ht="19.5" customHeight="1" x14ac:dyDescent="0.25">
      <c r="J16" s="158" t="s">
        <v>740</v>
      </c>
    </row>
    <row r="17" spans="10:12" ht="19.5" customHeight="1" x14ac:dyDescent="0.25">
      <c r="J17" s="158" t="s">
        <v>741</v>
      </c>
    </row>
    <row r="18" spans="10:12" ht="19.5" customHeight="1" x14ac:dyDescent="0.25">
      <c r="J18" s="158" t="s">
        <v>742</v>
      </c>
    </row>
    <row r="19" spans="10:12" ht="19.5" customHeight="1" x14ac:dyDescent="0.25">
      <c r="J19" s="158"/>
    </row>
    <row r="20" spans="10:12" ht="19.5" customHeight="1" x14ac:dyDescent="0.25">
      <c r="J20" s="158" t="s">
        <v>2084</v>
      </c>
    </row>
    <row r="21" spans="10:12" ht="19.5" customHeight="1" x14ac:dyDescent="0.25">
      <c r="J21" s="158"/>
    </row>
    <row r="22" spans="10:12" ht="19.5" customHeight="1" x14ac:dyDescent="0.25">
      <c r="J22" s="158" t="s">
        <v>2085</v>
      </c>
    </row>
    <row r="23" spans="10:12" ht="19.5" customHeight="1" x14ac:dyDescent="0.25">
      <c r="J23" s="581"/>
    </row>
    <row r="24" spans="10:12" ht="19.5" customHeight="1" x14ac:dyDescent="0.25">
      <c r="J24" s="581" t="s">
        <v>2086</v>
      </c>
    </row>
    <row r="25" spans="10:12" ht="19.5" customHeight="1" x14ac:dyDescent="0.25"/>
    <row r="26" spans="10:12" ht="19.5" customHeight="1" x14ac:dyDescent="0.25"/>
    <row r="27" spans="10:12" ht="19.5" customHeight="1" x14ac:dyDescent="0.25"/>
    <row r="28" spans="10:12" ht="19.5" customHeight="1" x14ac:dyDescent="0.25">
      <c r="J28" s="576" t="s">
        <v>1763</v>
      </c>
      <c r="K28" s="576" t="s">
        <v>2087</v>
      </c>
      <c r="L28" s="576" t="s">
        <v>2088</v>
      </c>
    </row>
    <row r="29" spans="10:12" ht="19.5" customHeight="1" x14ac:dyDescent="0.25">
      <c r="J29" s="575" t="s">
        <v>2089</v>
      </c>
      <c r="K29" s="577">
        <v>0</v>
      </c>
      <c r="L29" s="577">
        <v>1</v>
      </c>
    </row>
    <row r="30" spans="10:12" ht="19.5" customHeight="1" x14ac:dyDescent="0.25">
      <c r="J30" s="575">
        <v>29</v>
      </c>
      <c r="K30" s="575" t="s">
        <v>2090</v>
      </c>
      <c r="L30" s="577">
        <v>0.9</v>
      </c>
    </row>
    <row r="31" spans="10:12" ht="19.5" customHeight="1" x14ac:dyDescent="0.25">
      <c r="J31" s="575">
        <v>30</v>
      </c>
      <c r="K31" s="575" t="s">
        <v>2091</v>
      </c>
      <c r="L31" s="577">
        <v>0.8</v>
      </c>
    </row>
    <row r="32" spans="10:12" ht="19.5" customHeight="1" x14ac:dyDescent="0.25">
      <c r="J32" s="575">
        <v>31</v>
      </c>
      <c r="K32" s="575" t="s">
        <v>2092</v>
      </c>
      <c r="L32" s="577">
        <v>0.7</v>
      </c>
    </row>
    <row r="33" spans="10:12" ht="19.5" customHeight="1" x14ac:dyDescent="0.25">
      <c r="J33" s="575">
        <v>32</v>
      </c>
      <c r="K33" s="575" t="s">
        <v>2093</v>
      </c>
      <c r="L33" s="577">
        <v>0.6</v>
      </c>
    </row>
    <row r="34" spans="10:12" ht="19.5" customHeight="1" x14ac:dyDescent="0.25">
      <c r="J34" s="575">
        <v>33</v>
      </c>
      <c r="K34" s="575" t="s">
        <v>2094</v>
      </c>
      <c r="L34" s="577">
        <v>0.5</v>
      </c>
    </row>
    <row r="35" spans="10:12" ht="19.5" customHeight="1" x14ac:dyDescent="0.25">
      <c r="J35" s="575">
        <v>34</v>
      </c>
      <c r="K35" s="575" t="s">
        <v>2095</v>
      </c>
      <c r="L35" s="577">
        <v>0.4</v>
      </c>
    </row>
    <row r="36" spans="10:12" ht="19.5" customHeight="1" x14ac:dyDescent="0.25">
      <c r="J36" s="575">
        <v>35</v>
      </c>
      <c r="K36" s="575" t="s">
        <v>2096</v>
      </c>
      <c r="L36" s="577">
        <v>0.3</v>
      </c>
    </row>
    <row r="37" spans="10:12" ht="19.5" customHeight="1" x14ac:dyDescent="0.25">
      <c r="J37" s="575">
        <v>36</v>
      </c>
      <c r="K37" s="575" t="s">
        <v>2097</v>
      </c>
      <c r="L37" s="577">
        <v>0.2</v>
      </c>
    </row>
    <row r="38" spans="10:12" ht="19.5" customHeight="1" x14ac:dyDescent="0.25">
      <c r="J38" s="575">
        <v>37</v>
      </c>
      <c r="K38" s="575" t="s">
        <v>2098</v>
      </c>
      <c r="L38" s="577">
        <v>0.1</v>
      </c>
    </row>
    <row r="39" spans="10:12" ht="19.5" customHeight="1" x14ac:dyDescent="0.25">
      <c r="J39" s="575">
        <v>38</v>
      </c>
      <c r="K39" s="575" t="s">
        <v>2099</v>
      </c>
      <c r="L39" s="575" t="s">
        <v>2099</v>
      </c>
    </row>
  </sheetData>
  <pageMargins left="0.70866141732283472" right="0.70866141732283472" top="0.74803149606299213" bottom="0.74803149606299213" header="0.31496062992125984" footer="0.31496062992125984"/>
  <pageSetup paperSize="9" scale="56" fitToWidth="0"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C12" sqref="C12"/>
    </sheetView>
  </sheetViews>
  <sheetFormatPr baseColWidth="10" defaultColWidth="11.42578125" defaultRowHeight="15" x14ac:dyDescent="0.25"/>
  <sheetData>
    <row r="1" spans="1:1" x14ac:dyDescent="0.25">
      <c r="A1" s="327" t="s">
        <v>1316</v>
      </c>
    </row>
    <row r="2" spans="1:1" x14ac:dyDescent="0.25">
      <c r="A2" s="328" t="s">
        <v>1319</v>
      </c>
    </row>
    <row r="3" spans="1:1" x14ac:dyDescent="0.25">
      <c r="A3" s="328" t="s">
        <v>1320</v>
      </c>
    </row>
    <row r="4" spans="1:1" x14ac:dyDescent="0.25">
      <c r="A4" s="328" t="s">
        <v>1321</v>
      </c>
    </row>
    <row r="5" spans="1:1" ht="14.45" customHeight="1" x14ac:dyDescent="0.25">
      <c r="A5" s="328" t="s">
        <v>1317</v>
      </c>
    </row>
    <row r="6" spans="1:1" x14ac:dyDescent="0.25">
      <c r="A6" s="329" t="s">
        <v>1318</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C10" sqref="C10"/>
    </sheetView>
  </sheetViews>
  <sheetFormatPr baseColWidth="10" defaultColWidth="11.42578125" defaultRowHeight="15" x14ac:dyDescent="0.25"/>
  <cols>
    <col min="1" max="1" width="102.85546875" customWidth="1"/>
    <col min="2" max="2" width="12.5703125" customWidth="1"/>
    <col min="3" max="3" width="49.7109375" customWidth="1"/>
    <col min="4" max="4" width="7.5703125" bestFit="1" customWidth="1"/>
    <col min="5" max="6" width="9.140625" bestFit="1" customWidth="1"/>
    <col min="7" max="7" width="10.140625" bestFit="1" customWidth="1"/>
  </cols>
  <sheetData>
    <row r="1" spans="1:8" ht="27" x14ac:dyDescent="0.35">
      <c r="A1" s="372" t="s">
        <v>1441</v>
      </c>
      <c r="C1" s="293"/>
    </row>
    <row r="2" spans="1:8" x14ac:dyDescent="0.25">
      <c r="A2" s="293" t="s">
        <v>1442</v>
      </c>
      <c r="C2" s="293"/>
    </row>
    <row r="3" spans="1:8" ht="18" thickBot="1" x14ac:dyDescent="0.3">
      <c r="A3" s="359" t="s">
        <v>1443</v>
      </c>
      <c r="C3" s="293"/>
    </row>
    <row r="4" spans="1:8" ht="22.5" x14ac:dyDescent="0.25">
      <c r="A4" s="360" t="s">
        <v>1444</v>
      </c>
      <c r="D4" s="11" t="s">
        <v>1482</v>
      </c>
      <c r="E4" s="11" t="s">
        <v>1483</v>
      </c>
      <c r="F4" s="11" t="s">
        <v>1484</v>
      </c>
      <c r="G4" s="11" t="s">
        <v>1485</v>
      </c>
      <c r="H4" s="11" t="s">
        <v>1486</v>
      </c>
    </row>
    <row r="5" spans="1:8" ht="43.5" x14ac:dyDescent="0.25">
      <c r="A5" s="360" t="s">
        <v>1445</v>
      </c>
      <c r="C5" s="373" t="s">
        <v>287</v>
      </c>
      <c r="D5" s="51">
        <v>0.36</v>
      </c>
      <c r="E5" s="54">
        <f>D5+(D6+D7)*0.15</f>
        <v>0.43724999999999997</v>
      </c>
      <c r="F5" s="54">
        <f>D5+(D6+D7)*0.3</f>
        <v>0.51449999999999996</v>
      </c>
      <c r="G5" s="51">
        <f>D5-(D5*0.2)</f>
        <v>0.28799999999999998</v>
      </c>
      <c r="H5" s="51">
        <f>D5-(D5*0.4)</f>
        <v>0.216</v>
      </c>
    </row>
    <row r="6" spans="1:8" ht="18" thickBot="1" x14ac:dyDescent="0.3">
      <c r="A6" s="359" t="s">
        <v>1446</v>
      </c>
      <c r="C6" s="374" t="s">
        <v>288</v>
      </c>
      <c r="D6" s="51">
        <v>0.25750000000000001</v>
      </c>
      <c r="E6" s="54">
        <f>D6-(E5-D5)/2</f>
        <v>0.21887500000000001</v>
      </c>
      <c r="F6" s="54">
        <f>E6-(F5-E5)/2</f>
        <v>0.18025000000000002</v>
      </c>
      <c r="G6" s="51">
        <f>D6+(D5*0.2)/2</f>
        <v>0.29349999999999998</v>
      </c>
      <c r="H6" s="51">
        <f>D6+(D5*0.4)/2</f>
        <v>0.32950000000000002</v>
      </c>
    </row>
    <row r="7" spans="1:8" ht="33" x14ac:dyDescent="0.25">
      <c r="A7" s="360" t="s">
        <v>1447</v>
      </c>
      <c r="C7" s="373" t="s">
        <v>289</v>
      </c>
      <c r="D7" s="51">
        <v>0.25750000000000001</v>
      </c>
      <c r="E7" s="54">
        <f>E6</f>
        <v>0.21887500000000001</v>
      </c>
      <c r="F7" s="54">
        <f>F6</f>
        <v>0.18025000000000002</v>
      </c>
      <c r="G7" s="54">
        <f>G6</f>
        <v>0.29349999999999998</v>
      </c>
      <c r="H7" s="54">
        <f>H6</f>
        <v>0.32950000000000002</v>
      </c>
    </row>
    <row r="8" spans="1:8" x14ac:dyDescent="0.25">
      <c r="A8" s="362" t="s">
        <v>1448</v>
      </c>
      <c r="C8" s="373" t="s">
        <v>808</v>
      </c>
      <c r="D8" s="51">
        <v>8.5000000000000006E-2</v>
      </c>
      <c r="E8" s="54">
        <f t="shared" ref="E8:H9" si="0">D8</f>
        <v>8.5000000000000006E-2</v>
      </c>
      <c r="F8" s="54">
        <f t="shared" si="0"/>
        <v>8.5000000000000006E-2</v>
      </c>
      <c r="G8" s="54">
        <f t="shared" si="0"/>
        <v>8.5000000000000006E-2</v>
      </c>
      <c r="H8" s="54">
        <f t="shared" si="0"/>
        <v>8.5000000000000006E-2</v>
      </c>
    </row>
    <row r="9" spans="1:8" x14ac:dyDescent="0.25">
      <c r="A9" s="362" t="s">
        <v>1449</v>
      </c>
      <c r="C9" s="373" t="s">
        <v>290</v>
      </c>
      <c r="D9" s="51">
        <v>0.04</v>
      </c>
      <c r="E9" s="54">
        <f t="shared" si="0"/>
        <v>0.04</v>
      </c>
      <c r="F9" s="54">
        <f t="shared" si="0"/>
        <v>0.04</v>
      </c>
      <c r="G9" s="54">
        <f t="shared" si="0"/>
        <v>0.04</v>
      </c>
      <c r="H9" s="54">
        <f t="shared" si="0"/>
        <v>0.04</v>
      </c>
    </row>
    <row r="10" spans="1:8" ht="33" x14ac:dyDescent="0.25">
      <c r="A10" s="362" t="s">
        <v>1450</v>
      </c>
      <c r="D10" s="61">
        <f>D9+D8+D7+D6+D5</f>
        <v>1</v>
      </c>
      <c r="E10" s="61">
        <f>E9+E8+E7+E6+E5</f>
        <v>1</v>
      </c>
      <c r="F10" s="61">
        <f>F9+F8+F7+F6+F5</f>
        <v>1</v>
      </c>
      <c r="G10" s="61">
        <f>G9+G8+G7+G6+G5</f>
        <v>1</v>
      </c>
      <c r="H10" s="61">
        <f>H9+H8+H7+H6+H5</f>
        <v>1</v>
      </c>
    </row>
    <row r="11" spans="1:8" ht="33" x14ac:dyDescent="0.25">
      <c r="A11" s="360" t="s">
        <v>1451</v>
      </c>
    </row>
    <row r="12" spans="1:8" ht="18" thickBot="1" x14ac:dyDescent="0.3">
      <c r="A12" s="359" t="s">
        <v>1452</v>
      </c>
      <c r="C12">
        <v>10</v>
      </c>
      <c r="D12" s="11" t="s">
        <v>1482</v>
      </c>
      <c r="E12" s="11" t="s">
        <v>1483</v>
      </c>
      <c r="F12" s="11" t="s">
        <v>1484</v>
      </c>
      <c r="G12" s="11" t="s">
        <v>1485</v>
      </c>
      <c r="H12" s="11" t="s">
        <v>1486</v>
      </c>
    </row>
    <row r="13" spans="1:8" ht="33" x14ac:dyDescent="0.25">
      <c r="A13" s="360" t="s">
        <v>1453</v>
      </c>
      <c r="C13" s="373" t="s">
        <v>287</v>
      </c>
      <c r="D13" s="377">
        <f>D5*$C$12</f>
        <v>3.5999999999999996</v>
      </c>
      <c r="E13" s="377">
        <f>E5*$C$12</f>
        <v>4.3724999999999996</v>
      </c>
      <c r="F13" s="377">
        <f>F5*$C$12</f>
        <v>5.1449999999999996</v>
      </c>
      <c r="G13" s="377">
        <f>G5*$C$12</f>
        <v>2.88</v>
      </c>
      <c r="H13" s="377">
        <f>H5*$C$12</f>
        <v>2.16</v>
      </c>
    </row>
    <row r="14" spans="1:8" ht="22.5" x14ac:dyDescent="0.25">
      <c r="A14" s="362" t="s">
        <v>1454</v>
      </c>
      <c r="C14" s="374" t="s">
        <v>288</v>
      </c>
      <c r="D14" s="377">
        <f t="shared" ref="D14:H17" si="1">D6*$C$12</f>
        <v>2.5750000000000002</v>
      </c>
      <c r="E14" s="377">
        <f t="shared" si="1"/>
        <v>2.1887500000000002</v>
      </c>
      <c r="F14" s="377">
        <f t="shared" si="1"/>
        <v>1.8025000000000002</v>
      </c>
      <c r="G14" s="377">
        <f t="shared" si="1"/>
        <v>2.9349999999999996</v>
      </c>
      <c r="H14" s="377">
        <f t="shared" si="1"/>
        <v>3.2949999999999999</v>
      </c>
    </row>
    <row r="15" spans="1:8" x14ac:dyDescent="0.25">
      <c r="A15" s="362" t="s">
        <v>1455</v>
      </c>
      <c r="C15" s="373" t="s">
        <v>289</v>
      </c>
      <c r="D15" s="377">
        <f t="shared" si="1"/>
        <v>2.5750000000000002</v>
      </c>
      <c r="E15" s="377">
        <f t="shared" si="1"/>
        <v>2.1887500000000002</v>
      </c>
      <c r="F15" s="377">
        <f t="shared" si="1"/>
        <v>1.8025000000000002</v>
      </c>
      <c r="G15" s="377">
        <f t="shared" si="1"/>
        <v>2.9349999999999996</v>
      </c>
      <c r="H15" s="377">
        <f t="shared" si="1"/>
        <v>3.2949999999999999</v>
      </c>
    </row>
    <row r="16" spans="1:8" ht="22.5" x14ac:dyDescent="0.25">
      <c r="A16" s="362" t="s">
        <v>1456</v>
      </c>
      <c r="C16" s="373" t="s">
        <v>808</v>
      </c>
      <c r="D16" s="377">
        <f t="shared" si="1"/>
        <v>0.85000000000000009</v>
      </c>
      <c r="E16" s="377">
        <f t="shared" si="1"/>
        <v>0.85000000000000009</v>
      </c>
      <c r="F16" s="377">
        <f t="shared" si="1"/>
        <v>0.85000000000000009</v>
      </c>
      <c r="G16" s="377">
        <f t="shared" si="1"/>
        <v>0.85000000000000009</v>
      </c>
      <c r="H16" s="377">
        <f t="shared" si="1"/>
        <v>0.85000000000000009</v>
      </c>
    </row>
    <row r="17" spans="1:8" ht="33" x14ac:dyDescent="0.25">
      <c r="A17" s="360" t="s">
        <v>1457</v>
      </c>
      <c r="C17" s="373" t="s">
        <v>290</v>
      </c>
      <c r="D17" s="377">
        <f t="shared" si="1"/>
        <v>0.4</v>
      </c>
      <c r="E17" s="377">
        <f t="shared" si="1"/>
        <v>0.4</v>
      </c>
      <c r="F17" s="377">
        <f t="shared" si="1"/>
        <v>0.4</v>
      </c>
      <c r="G17" s="377">
        <f t="shared" si="1"/>
        <v>0.4</v>
      </c>
      <c r="H17" s="377">
        <f t="shared" si="1"/>
        <v>0.4</v>
      </c>
    </row>
    <row r="18" spans="1:8" ht="18" thickBot="1" x14ac:dyDescent="0.3">
      <c r="A18" s="359" t="s">
        <v>1458</v>
      </c>
    </row>
    <row r="19" spans="1:8" ht="22.5" x14ac:dyDescent="0.25">
      <c r="A19" s="360" t="s">
        <v>1459</v>
      </c>
    </row>
    <row r="20" spans="1:8" x14ac:dyDescent="0.25">
      <c r="A20" s="362" t="s">
        <v>1460</v>
      </c>
    </row>
    <row r="21" spans="1:8" x14ac:dyDescent="0.25">
      <c r="A21" s="362" t="s">
        <v>1461</v>
      </c>
    </row>
    <row r="22" spans="1:8" ht="22.5" x14ac:dyDescent="0.25">
      <c r="A22" s="362" t="s">
        <v>1462</v>
      </c>
    </row>
    <row r="23" spans="1:8" x14ac:dyDescent="0.25">
      <c r="A23" s="360" t="s">
        <v>1463</v>
      </c>
    </row>
    <row r="24" spans="1:8" ht="18" thickBot="1" x14ac:dyDescent="0.3">
      <c r="A24" s="359" t="s">
        <v>1464</v>
      </c>
    </row>
    <row r="25" spans="1:8" ht="33" x14ac:dyDescent="0.25">
      <c r="A25" s="360" t="s">
        <v>1465</v>
      </c>
    </row>
    <row r="26" spans="1:8" x14ac:dyDescent="0.25">
      <c r="A26" s="362" t="s">
        <v>1466</v>
      </c>
    </row>
    <row r="27" spans="1:8" x14ac:dyDescent="0.25">
      <c r="A27" s="362" t="s">
        <v>1467</v>
      </c>
    </row>
    <row r="28" spans="1:8" ht="22.5" x14ac:dyDescent="0.25">
      <c r="A28" s="362" t="s">
        <v>1468</v>
      </c>
    </row>
    <row r="29" spans="1:8" x14ac:dyDescent="0.25">
      <c r="A29" s="360" t="s">
        <v>1469</v>
      </c>
    </row>
    <row r="30" spans="1:8" ht="18" thickBot="1" x14ac:dyDescent="0.3">
      <c r="A30" s="359" t="s">
        <v>1470</v>
      </c>
    </row>
    <row r="31" spans="1:8" x14ac:dyDescent="0.25">
      <c r="A31" s="360" t="s">
        <v>1471</v>
      </c>
    </row>
    <row r="32" spans="1:8" ht="22.5" x14ac:dyDescent="0.25">
      <c r="A32" s="362" t="s">
        <v>1472</v>
      </c>
    </row>
    <row r="33" spans="1:3" x14ac:dyDescent="0.25">
      <c r="A33" s="362" t="s">
        <v>1473</v>
      </c>
    </row>
    <row r="34" spans="1:3" ht="22.5" x14ac:dyDescent="0.25">
      <c r="A34" s="362" t="s">
        <v>1474</v>
      </c>
    </row>
    <row r="35" spans="1:3" ht="18" thickBot="1" x14ac:dyDescent="0.3">
      <c r="A35" s="359" t="s">
        <v>1475</v>
      </c>
    </row>
    <row r="36" spans="1:3" ht="43.5" x14ac:dyDescent="0.25">
      <c r="A36" s="360" t="s">
        <v>1476</v>
      </c>
    </row>
    <row r="37" spans="1:3" x14ac:dyDescent="0.25">
      <c r="A37" s="362" t="s">
        <v>1477</v>
      </c>
      <c r="C37" s="293" t="s">
        <v>1541</v>
      </c>
    </row>
    <row r="38" spans="1:3" x14ac:dyDescent="0.25">
      <c r="A38" s="362" t="s">
        <v>1478</v>
      </c>
      <c r="C38" s="293" t="s">
        <v>1542</v>
      </c>
    </row>
    <row r="39" spans="1:3" ht="22.5" x14ac:dyDescent="0.25">
      <c r="A39" s="362" t="s">
        <v>1479</v>
      </c>
      <c r="C39" s="293" t="s">
        <v>1543</v>
      </c>
    </row>
    <row r="40" spans="1:3" ht="54" x14ac:dyDescent="0.25">
      <c r="A40" s="360" t="s">
        <v>1480</v>
      </c>
    </row>
    <row r="41" spans="1:3" x14ac:dyDescent="0.25">
      <c r="A41" s="360" t="s">
        <v>1481</v>
      </c>
      <c r="C41" s="293" t="s">
        <v>1544</v>
      </c>
    </row>
    <row r="42" spans="1:3" x14ac:dyDescent="0.25">
      <c r="C42" s="293" t="s">
        <v>1545</v>
      </c>
    </row>
    <row r="43" spans="1:3" x14ac:dyDescent="0.25">
      <c r="C43" s="293" t="s">
        <v>1546</v>
      </c>
    </row>
    <row r="45" spans="1:3" x14ac:dyDescent="0.25">
      <c r="C45" s="402" t="s">
        <v>1547</v>
      </c>
    </row>
    <row r="47" spans="1:3" x14ac:dyDescent="0.25">
      <c r="C47" s="371" t="s">
        <v>1548</v>
      </c>
    </row>
    <row r="48" spans="1:3" x14ac:dyDescent="0.25">
      <c r="C48" s="293" t="s">
        <v>1549</v>
      </c>
    </row>
    <row r="49" spans="3:3" x14ac:dyDescent="0.25">
      <c r="C49" s="293" t="s">
        <v>1550</v>
      </c>
    </row>
    <row r="50" spans="3:3" x14ac:dyDescent="0.25">
      <c r="C50" s="293" t="s">
        <v>1551</v>
      </c>
    </row>
    <row r="51" spans="3:3" x14ac:dyDescent="0.25">
      <c r="C51" s="293" t="s">
        <v>1552</v>
      </c>
    </row>
    <row r="52" spans="3:3" x14ac:dyDescent="0.25">
      <c r="C52" s="293" t="s">
        <v>1553</v>
      </c>
    </row>
    <row r="53" spans="3:3" x14ac:dyDescent="0.25">
      <c r="C53" s="293" t="s">
        <v>1554</v>
      </c>
    </row>
    <row r="54" spans="3:3" x14ac:dyDescent="0.25">
      <c r="C54" s="293" t="s">
        <v>1555</v>
      </c>
    </row>
    <row r="55" spans="3:3" x14ac:dyDescent="0.25">
      <c r="C55" s="293" t="s">
        <v>1556</v>
      </c>
    </row>
    <row r="56" spans="3:3" x14ac:dyDescent="0.25">
      <c r="C56" s="293" t="s">
        <v>1557</v>
      </c>
    </row>
    <row r="57" spans="3:3" x14ac:dyDescent="0.25">
      <c r="C57" s="293" t="s">
        <v>1558</v>
      </c>
    </row>
    <row r="58" spans="3:3" x14ac:dyDescent="0.25">
      <c r="C58" s="293" t="s">
        <v>1559</v>
      </c>
    </row>
    <row r="59" spans="3:3" x14ac:dyDescent="0.25">
      <c r="C59" s="293" t="s">
        <v>1560</v>
      </c>
    </row>
    <row r="60" spans="3:3" x14ac:dyDescent="0.25">
      <c r="C60" s="293" t="s">
        <v>1561</v>
      </c>
    </row>
    <row r="61" spans="3:3" x14ac:dyDescent="0.25">
      <c r="C61" s="293" t="s">
        <v>1562</v>
      </c>
    </row>
    <row r="62" spans="3:3" x14ac:dyDescent="0.25">
      <c r="C62" s="293" t="s">
        <v>1563</v>
      </c>
    </row>
    <row r="63" spans="3:3" x14ac:dyDescent="0.25">
      <c r="C63" s="293" t="s">
        <v>1564</v>
      </c>
    </row>
    <row r="64" spans="3:3" x14ac:dyDescent="0.25">
      <c r="C64" s="293" t="s">
        <v>1565</v>
      </c>
    </row>
    <row r="65" spans="3:3" x14ac:dyDescent="0.25">
      <c r="C65" s="293" t="s">
        <v>1566</v>
      </c>
    </row>
    <row r="66" spans="3:3" x14ac:dyDescent="0.25">
      <c r="C66" s="293" t="s">
        <v>1567</v>
      </c>
    </row>
    <row r="68" spans="3:3" x14ac:dyDescent="0.25">
      <c r="C68" s="293" t="s">
        <v>1568</v>
      </c>
    </row>
    <row r="69" spans="3:3" x14ac:dyDescent="0.25">
      <c r="C69" s="293" t="s">
        <v>1569</v>
      </c>
    </row>
    <row r="70" spans="3:3" x14ac:dyDescent="0.25">
      <c r="C70" s="293" t="s">
        <v>1570</v>
      </c>
    </row>
  </sheetData>
  <pageMargins left="0.7" right="0.7" top="0.75" bottom="0.75" header="0.3" footer="0.3"/>
  <pageSetup paperSize="9"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B14" sqref="B14"/>
    </sheetView>
  </sheetViews>
  <sheetFormatPr baseColWidth="10" defaultColWidth="11.42578125" defaultRowHeight="15" x14ac:dyDescent="0.25"/>
  <sheetData>
    <row r="1" spans="1:1" x14ac:dyDescent="0.25">
      <c r="A1" s="2" t="s">
        <v>1437</v>
      </c>
    </row>
    <row r="3" spans="1:1" x14ac:dyDescent="0.25">
      <c r="A3" s="293" t="s">
        <v>1432</v>
      </c>
    </row>
    <row r="4" spans="1:1" x14ac:dyDescent="0.25">
      <c r="A4" s="293" t="s">
        <v>1433</v>
      </c>
    </row>
    <row r="5" spans="1:1" x14ac:dyDescent="0.25">
      <c r="A5" s="293" t="s">
        <v>1434</v>
      </c>
    </row>
    <row r="6" spans="1:1" x14ac:dyDescent="0.25">
      <c r="A6" s="293" t="s">
        <v>1435</v>
      </c>
    </row>
    <row r="7" spans="1:1" x14ac:dyDescent="0.25">
      <c r="A7" s="293" t="s">
        <v>1436</v>
      </c>
    </row>
    <row r="9" spans="1:1" x14ac:dyDescent="0.25">
      <c r="A9" s="371" t="s">
        <v>1438</v>
      </c>
    </row>
    <row r="10" spans="1:1" x14ac:dyDescent="0.25">
      <c r="A10" s="2" t="s">
        <v>1439</v>
      </c>
    </row>
    <row r="11" spans="1:1" x14ac:dyDescent="0.25">
      <c r="A11" s="2" t="s">
        <v>1440</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workbookViewId="0">
      <selection activeCell="G17" sqref="G17"/>
    </sheetView>
  </sheetViews>
  <sheetFormatPr baseColWidth="10" defaultColWidth="11.42578125" defaultRowHeight="15" x14ac:dyDescent="0.25"/>
  <sheetData>
    <row r="1" spans="1:1" x14ac:dyDescent="0.25">
      <c r="A1" s="293" t="s">
        <v>1399</v>
      </c>
    </row>
    <row r="2" spans="1:1" x14ac:dyDescent="0.25">
      <c r="A2" s="293" t="s">
        <v>1400</v>
      </c>
    </row>
    <row r="3" spans="1:1" x14ac:dyDescent="0.25">
      <c r="A3" s="293" t="s">
        <v>1401</v>
      </c>
    </row>
    <row r="4" spans="1:1" x14ac:dyDescent="0.25">
      <c r="A4" s="293" t="s">
        <v>1402</v>
      </c>
    </row>
    <row r="5" spans="1:1" x14ac:dyDescent="0.25">
      <c r="A5" s="293" t="s">
        <v>1403</v>
      </c>
    </row>
    <row r="6" spans="1:1" x14ac:dyDescent="0.25">
      <c r="A6" s="293" t="s">
        <v>1404</v>
      </c>
    </row>
    <row r="7" spans="1:1" x14ac:dyDescent="0.25">
      <c r="A7" s="293" t="s">
        <v>1405</v>
      </c>
    </row>
    <row r="8" spans="1:1" x14ac:dyDescent="0.25">
      <c r="A8" s="293" t="s">
        <v>1406</v>
      </c>
    </row>
    <row r="10" spans="1:1" x14ac:dyDescent="0.25">
      <c r="A10" s="293" t="s">
        <v>1407</v>
      </c>
    </row>
    <row r="11" spans="1:1" x14ac:dyDescent="0.25">
      <c r="A11" s="293" t="s">
        <v>1408</v>
      </c>
    </row>
    <row r="12" spans="1:1" x14ac:dyDescent="0.25">
      <c r="A12" s="293" t="s">
        <v>1409</v>
      </c>
    </row>
    <row r="13" spans="1:1" x14ac:dyDescent="0.25">
      <c r="A13" s="293" t="s">
        <v>1410</v>
      </c>
    </row>
    <row r="14" spans="1:1" x14ac:dyDescent="0.25">
      <c r="A14" s="293" t="s">
        <v>1411</v>
      </c>
    </row>
    <row r="15" spans="1:1" x14ac:dyDescent="0.25">
      <c r="A15" s="293" t="s">
        <v>1412</v>
      </c>
    </row>
    <row r="16" spans="1:1" x14ac:dyDescent="0.25">
      <c r="A16" s="293" t="s">
        <v>1413</v>
      </c>
    </row>
    <row r="17" spans="1:1" x14ac:dyDescent="0.25">
      <c r="A17" s="293" t="s">
        <v>1414</v>
      </c>
    </row>
    <row r="18" spans="1:1" x14ac:dyDescent="0.25">
      <c r="A18" s="293" t="s">
        <v>1415</v>
      </c>
    </row>
    <row r="19" spans="1:1" x14ac:dyDescent="0.25">
      <c r="A19" s="293" t="s">
        <v>1416</v>
      </c>
    </row>
    <row r="20" spans="1:1" x14ac:dyDescent="0.25">
      <c r="A20" s="293" t="s">
        <v>1417</v>
      </c>
    </row>
    <row r="21" spans="1:1" x14ac:dyDescent="0.25">
      <c r="A21" s="293" t="s">
        <v>1418</v>
      </c>
    </row>
    <row r="22" spans="1:1" x14ac:dyDescent="0.25">
      <c r="A22" s="293" t="s">
        <v>1419</v>
      </c>
    </row>
    <row r="23" spans="1:1" x14ac:dyDescent="0.25">
      <c r="A23" s="293" t="s">
        <v>1420</v>
      </c>
    </row>
    <row r="24" spans="1:1" x14ac:dyDescent="0.25">
      <c r="A24" s="293" t="s">
        <v>1421</v>
      </c>
    </row>
    <row r="25" spans="1:1" x14ac:dyDescent="0.25">
      <c r="A25" s="293" t="s">
        <v>1422</v>
      </c>
    </row>
    <row r="26" spans="1:1" x14ac:dyDescent="0.25">
      <c r="A26" s="293" t="s">
        <v>1423</v>
      </c>
    </row>
    <row r="27" spans="1:1" x14ac:dyDescent="0.25">
      <c r="A27" s="293" t="s">
        <v>1424</v>
      </c>
    </row>
    <row r="28" spans="1:1" x14ac:dyDescent="0.25">
      <c r="A28" s="293" t="s">
        <v>1425</v>
      </c>
    </row>
    <row r="29" spans="1:1" x14ac:dyDescent="0.25">
      <c r="A29" s="293" t="s">
        <v>1426</v>
      </c>
    </row>
    <row r="30" spans="1:1" x14ac:dyDescent="0.25">
      <c r="A30" s="293" t="s">
        <v>1427</v>
      </c>
    </row>
    <row r="31" spans="1:1" x14ac:dyDescent="0.25">
      <c r="A31" s="293" t="s">
        <v>1428</v>
      </c>
    </row>
    <row r="32" spans="1:1" x14ac:dyDescent="0.25">
      <c r="A32" s="293" t="s">
        <v>1429</v>
      </c>
    </row>
    <row r="33" spans="1:1" x14ac:dyDescent="0.25">
      <c r="A33" s="293" t="s">
        <v>1430</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K29" sqref="K29"/>
    </sheetView>
  </sheetViews>
  <sheetFormatPr baseColWidth="10" defaultColWidth="11.42578125" defaultRowHeight="15" x14ac:dyDescent="0.25"/>
  <cols>
    <col min="2" max="8" width="5.5703125" bestFit="1" customWidth="1"/>
    <col min="9" max="10" width="6.7109375" bestFit="1" customWidth="1"/>
    <col min="11" max="12" width="4.5703125" bestFit="1" customWidth="1"/>
    <col min="13" max="13" width="5.140625" bestFit="1" customWidth="1"/>
    <col min="14" max="14" width="5.5703125" bestFit="1" customWidth="1"/>
  </cols>
  <sheetData>
    <row r="1" spans="1:10" x14ac:dyDescent="0.25">
      <c r="A1" t="s">
        <v>1498</v>
      </c>
    </row>
    <row r="2" spans="1:10" x14ac:dyDescent="0.25">
      <c r="A2" t="s">
        <v>1506</v>
      </c>
    </row>
    <row r="3" spans="1:10" ht="15.75" thickBot="1" x14ac:dyDescent="0.3"/>
    <row r="4" spans="1:10" x14ac:dyDescent="0.25">
      <c r="A4" s="788" t="s">
        <v>1499</v>
      </c>
      <c r="B4" s="788" t="s">
        <v>864</v>
      </c>
      <c r="C4" s="788" t="s">
        <v>865</v>
      </c>
      <c r="D4" s="788" t="s">
        <v>866</v>
      </c>
      <c r="E4" s="790" t="s">
        <v>868</v>
      </c>
      <c r="F4" s="788" t="s">
        <v>1500</v>
      </c>
      <c r="G4" s="788" t="s">
        <v>1501</v>
      </c>
      <c r="H4" s="788" t="s">
        <v>1502</v>
      </c>
      <c r="I4" s="788" t="s">
        <v>1503</v>
      </c>
      <c r="J4" s="790" t="s">
        <v>1504</v>
      </c>
    </row>
    <row r="5" spans="1:10" ht="15.75" thickBot="1" x14ac:dyDescent="0.3">
      <c r="A5" s="789"/>
      <c r="B5" s="789"/>
      <c r="C5" s="789"/>
      <c r="D5" s="789"/>
      <c r="E5" s="791"/>
      <c r="F5" s="789"/>
      <c r="G5" s="789"/>
      <c r="H5" s="789"/>
      <c r="I5" s="789"/>
      <c r="J5" s="791"/>
    </row>
    <row r="6" spans="1:10" x14ac:dyDescent="0.25">
      <c r="A6" s="788" t="s">
        <v>575</v>
      </c>
      <c r="B6" s="792">
        <v>3563</v>
      </c>
      <c r="C6" s="792">
        <v>3583</v>
      </c>
      <c r="D6" s="792">
        <v>3689</v>
      </c>
      <c r="E6" s="794">
        <v>3712</v>
      </c>
      <c r="F6" s="792">
        <v>3656</v>
      </c>
      <c r="G6" s="792">
        <v>3751</v>
      </c>
      <c r="H6" s="792">
        <v>3693</v>
      </c>
      <c r="I6" s="792">
        <v>3676</v>
      </c>
      <c r="J6" s="794">
        <v>3638</v>
      </c>
    </row>
    <row r="7" spans="1:10" ht="15.75" thickBot="1" x14ac:dyDescent="0.3">
      <c r="A7" s="789"/>
      <c r="B7" s="793"/>
      <c r="C7" s="793"/>
      <c r="D7" s="793"/>
      <c r="E7" s="795"/>
      <c r="F7" s="793"/>
      <c r="G7" s="793"/>
      <c r="H7" s="793"/>
      <c r="I7" s="793"/>
      <c r="J7" s="795"/>
    </row>
    <row r="8" spans="1:10" x14ac:dyDescent="0.25">
      <c r="A8" s="788" t="s">
        <v>576</v>
      </c>
      <c r="B8" s="792">
        <v>2957</v>
      </c>
      <c r="C8" s="792">
        <v>3253</v>
      </c>
      <c r="D8" s="792">
        <v>3342</v>
      </c>
      <c r="E8" s="794">
        <v>3325</v>
      </c>
      <c r="F8" s="792">
        <v>3461</v>
      </c>
      <c r="G8" s="792">
        <v>3392</v>
      </c>
      <c r="H8" s="792">
        <v>3455</v>
      </c>
      <c r="I8" s="792">
        <v>3369</v>
      </c>
      <c r="J8" s="794">
        <v>3372</v>
      </c>
    </row>
    <row r="9" spans="1:10" ht="15.75" thickBot="1" x14ac:dyDescent="0.3">
      <c r="A9" s="789"/>
      <c r="B9" s="793"/>
      <c r="C9" s="793"/>
      <c r="D9" s="793"/>
      <c r="E9" s="795"/>
      <c r="F9" s="793"/>
      <c r="G9" s="793"/>
      <c r="H9" s="793"/>
      <c r="I9" s="793"/>
      <c r="J9" s="795"/>
    </row>
    <row r="10" spans="1:10" x14ac:dyDescent="0.25">
      <c r="A10" s="788" t="s">
        <v>577</v>
      </c>
      <c r="B10" s="792">
        <v>2354</v>
      </c>
      <c r="C10" s="792">
        <v>2997</v>
      </c>
      <c r="D10" s="792">
        <v>3041</v>
      </c>
      <c r="E10" s="794">
        <v>3085</v>
      </c>
      <c r="F10" s="792">
        <v>3118</v>
      </c>
      <c r="G10" s="792">
        <v>3100</v>
      </c>
      <c r="H10" s="792">
        <v>3130</v>
      </c>
      <c r="I10" s="792">
        <v>3102</v>
      </c>
      <c r="J10" s="794">
        <v>3098</v>
      </c>
    </row>
    <row r="11" spans="1:10" ht="15.75" thickBot="1" x14ac:dyDescent="0.3">
      <c r="A11" s="789"/>
      <c r="B11" s="793"/>
      <c r="C11" s="793"/>
      <c r="D11" s="793"/>
      <c r="E11" s="795"/>
      <c r="F11" s="793"/>
      <c r="G11" s="793"/>
      <c r="H11" s="793"/>
      <c r="I11" s="793"/>
      <c r="J11" s="795"/>
    </row>
    <row r="12" spans="1:10" x14ac:dyDescent="0.25">
      <c r="A12" s="788" t="s">
        <v>578</v>
      </c>
      <c r="B12" s="792"/>
      <c r="C12" s="792">
        <v>2361</v>
      </c>
      <c r="D12" s="792">
        <v>2778</v>
      </c>
      <c r="E12" s="794">
        <v>2793</v>
      </c>
      <c r="F12" s="792">
        <v>2808</v>
      </c>
      <c r="G12" s="792">
        <v>2810</v>
      </c>
      <c r="H12" s="792">
        <v>2814</v>
      </c>
      <c r="I12" s="792">
        <v>2795</v>
      </c>
      <c r="J12" s="794">
        <v>2793</v>
      </c>
    </row>
    <row r="13" spans="1:10" ht="15.75" thickBot="1" x14ac:dyDescent="0.3">
      <c r="A13" s="789"/>
      <c r="B13" s="793"/>
      <c r="C13" s="793"/>
      <c r="D13" s="793"/>
      <c r="E13" s="795"/>
      <c r="F13" s="793"/>
      <c r="G13" s="793"/>
      <c r="H13" s="793"/>
      <c r="I13" s="793"/>
      <c r="J13" s="795"/>
    </row>
    <row r="14" spans="1:10" x14ac:dyDescent="0.25">
      <c r="A14" s="788" t="s">
        <v>579</v>
      </c>
      <c r="B14" s="792"/>
      <c r="C14" s="792"/>
      <c r="D14" s="792">
        <v>2241</v>
      </c>
      <c r="E14" s="794">
        <v>2467</v>
      </c>
      <c r="F14" s="792">
        <v>2521</v>
      </c>
      <c r="G14" s="792">
        <v>2507</v>
      </c>
      <c r="H14" s="792">
        <v>2536</v>
      </c>
      <c r="I14" s="792">
        <v>2517</v>
      </c>
      <c r="J14" s="794">
        <v>2525</v>
      </c>
    </row>
    <row r="15" spans="1:10" ht="15.75" thickBot="1" x14ac:dyDescent="0.3">
      <c r="A15" s="789"/>
      <c r="B15" s="793"/>
      <c r="C15" s="793"/>
      <c r="D15" s="793"/>
      <c r="E15" s="795"/>
      <c r="F15" s="793"/>
      <c r="G15" s="793"/>
      <c r="H15" s="793"/>
      <c r="I15" s="793"/>
      <c r="J15" s="795"/>
    </row>
    <row r="16" spans="1:10" x14ac:dyDescent="0.25">
      <c r="A16" s="788" t="s">
        <v>580</v>
      </c>
      <c r="B16" s="792"/>
      <c r="C16" s="792"/>
      <c r="D16" s="792"/>
      <c r="E16" s="794">
        <v>2113</v>
      </c>
      <c r="F16" s="792">
        <v>2226</v>
      </c>
      <c r="G16" s="792">
        <v>2202</v>
      </c>
      <c r="H16" s="792">
        <v>2232</v>
      </c>
      <c r="I16" s="792">
        <v>2235</v>
      </c>
      <c r="J16" s="794">
        <v>2227</v>
      </c>
    </row>
    <row r="17" spans="1:10" ht="15.75" thickBot="1" x14ac:dyDescent="0.3">
      <c r="A17" s="789"/>
      <c r="B17" s="793"/>
      <c r="C17" s="793"/>
      <c r="D17" s="793"/>
      <c r="E17" s="795"/>
      <c r="F17" s="793"/>
      <c r="G17" s="793"/>
      <c r="H17" s="793"/>
      <c r="I17" s="793"/>
      <c r="J17" s="795"/>
    </row>
    <row r="18" spans="1:10" x14ac:dyDescent="0.25">
      <c r="A18" s="788" t="s">
        <v>581</v>
      </c>
      <c r="B18" s="792"/>
      <c r="C18" s="792"/>
      <c r="D18" s="792"/>
      <c r="E18" s="794"/>
      <c r="F18" s="792">
        <v>1537</v>
      </c>
      <c r="G18" s="792">
        <v>1762</v>
      </c>
      <c r="H18" s="792">
        <v>1905</v>
      </c>
      <c r="I18" s="792">
        <v>1879</v>
      </c>
      <c r="J18" s="794">
        <v>1893</v>
      </c>
    </row>
    <row r="19" spans="1:10" ht="15.75" thickBot="1" x14ac:dyDescent="0.3">
      <c r="A19" s="789"/>
      <c r="B19" s="793"/>
      <c r="C19" s="793"/>
      <c r="D19" s="793"/>
      <c r="E19" s="795"/>
      <c r="F19" s="793"/>
      <c r="G19" s="793"/>
      <c r="H19" s="793"/>
      <c r="I19" s="793"/>
      <c r="J19" s="795"/>
    </row>
    <row r="20" spans="1:10" x14ac:dyDescent="0.25">
      <c r="A20" s="788" t="s">
        <v>582</v>
      </c>
      <c r="B20" s="792"/>
      <c r="C20" s="792"/>
      <c r="D20" s="792"/>
      <c r="E20" s="794"/>
      <c r="F20" s="792"/>
      <c r="G20" s="792">
        <v>1412</v>
      </c>
      <c r="H20" s="792">
        <v>1689</v>
      </c>
      <c r="I20" s="792">
        <v>1630</v>
      </c>
      <c r="J20" s="794">
        <v>1640</v>
      </c>
    </row>
    <row r="21" spans="1:10" ht="15.75" thickBot="1" x14ac:dyDescent="0.3">
      <c r="A21" s="789"/>
      <c r="B21" s="793"/>
      <c r="C21" s="793"/>
      <c r="D21" s="793"/>
      <c r="E21" s="795"/>
      <c r="F21" s="793"/>
      <c r="G21" s="793"/>
      <c r="H21" s="793"/>
      <c r="I21" s="793"/>
      <c r="J21" s="795"/>
    </row>
    <row r="22" spans="1:10" x14ac:dyDescent="0.25">
      <c r="A22" s="788" t="s">
        <v>583</v>
      </c>
      <c r="B22" s="792"/>
      <c r="C22" s="792"/>
      <c r="D22" s="792"/>
      <c r="E22" s="794"/>
      <c r="F22" s="792"/>
      <c r="G22" s="792"/>
      <c r="H22" s="792">
        <v>1082</v>
      </c>
      <c r="I22" s="792">
        <v>1341</v>
      </c>
      <c r="J22" s="794">
        <v>1325</v>
      </c>
    </row>
    <row r="23" spans="1:10" ht="15.75" thickBot="1" x14ac:dyDescent="0.3">
      <c r="A23" s="789"/>
      <c r="B23" s="793"/>
      <c r="C23" s="793"/>
      <c r="D23" s="793"/>
      <c r="E23" s="795"/>
      <c r="F23" s="793"/>
      <c r="G23" s="793"/>
      <c r="H23" s="793"/>
      <c r="I23" s="793"/>
      <c r="J23" s="795"/>
    </row>
    <row r="24" spans="1:10" x14ac:dyDescent="0.25">
      <c r="A24" s="788" t="s">
        <v>584</v>
      </c>
      <c r="B24" s="792"/>
      <c r="C24" s="792"/>
      <c r="D24" s="792"/>
      <c r="E24" s="794"/>
      <c r="F24" s="792"/>
      <c r="G24" s="792"/>
      <c r="H24" s="792"/>
      <c r="I24" s="792">
        <v>1003</v>
      </c>
      <c r="J24" s="794">
        <v>1016</v>
      </c>
    </row>
    <row r="25" spans="1:10" ht="15.75" thickBot="1" x14ac:dyDescent="0.3">
      <c r="A25" s="789"/>
      <c r="B25" s="793"/>
      <c r="C25" s="793"/>
      <c r="D25" s="793"/>
      <c r="E25" s="795"/>
      <c r="F25" s="793"/>
      <c r="G25" s="793"/>
      <c r="H25" s="793"/>
      <c r="I25" s="793"/>
      <c r="J25" s="795"/>
    </row>
    <row r="26" spans="1:10" x14ac:dyDescent="0.25">
      <c r="A26" s="788" t="s">
        <v>1505</v>
      </c>
      <c r="B26" s="792"/>
      <c r="C26" s="792"/>
      <c r="D26" s="792"/>
      <c r="E26" s="794"/>
      <c r="F26" s="792"/>
      <c r="G26" s="792"/>
      <c r="H26" s="792"/>
      <c r="I26" s="792"/>
      <c r="J26" s="794">
        <v>632</v>
      </c>
    </row>
    <row r="27" spans="1:10" ht="15.75" thickBot="1" x14ac:dyDescent="0.3">
      <c r="A27" s="789"/>
      <c r="B27" s="793"/>
      <c r="C27" s="793"/>
      <c r="D27" s="793"/>
      <c r="E27" s="795"/>
      <c r="F27" s="793"/>
      <c r="G27" s="793"/>
      <c r="H27" s="793"/>
      <c r="I27" s="793"/>
      <c r="J27" s="795"/>
    </row>
    <row r="30" spans="1:10" x14ac:dyDescent="0.25">
      <c r="A30" t="s">
        <v>1507</v>
      </c>
    </row>
  </sheetData>
  <mergeCells count="120">
    <mergeCell ref="J26:J27"/>
    <mergeCell ref="G24:G25"/>
    <mergeCell ref="H24:H25"/>
    <mergeCell ref="I24:I25"/>
    <mergeCell ref="J24:J25"/>
    <mergeCell ref="A26:A27"/>
    <mergeCell ref="B26:B27"/>
    <mergeCell ref="C26:C27"/>
    <mergeCell ref="D26:D27"/>
    <mergeCell ref="E26:E27"/>
    <mergeCell ref="F26:F27"/>
    <mergeCell ref="A24:A25"/>
    <mergeCell ref="B24:B25"/>
    <mergeCell ref="C24:C25"/>
    <mergeCell ref="D24:D25"/>
    <mergeCell ref="E24:E25"/>
    <mergeCell ref="F24:F25"/>
    <mergeCell ref="G26:G27"/>
    <mergeCell ref="H26:H27"/>
    <mergeCell ref="I26:I27"/>
    <mergeCell ref="J20:J21"/>
    <mergeCell ref="A22:A23"/>
    <mergeCell ref="B22:B23"/>
    <mergeCell ref="C22:C23"/>
    <mergeCell ref="D22:D23"/>
    <mergeCell ref="E22:E23"/>
    <mergeCell ref="F22:F23"/>
    <mergeCell ref="G22:G23"/>
    <mergeCell ref="H22:H23"/>
    <mergeCell ref="I22:I23"/>
    <mergeCell ref="J22:J23"/>
    <mergeCell ref="A20:A21"/>
    <mergeCell ref="B20:B21"/>
    <mergeCell ref="C20:C21"/>
    <mergeCell ref="D20:D21"/>
    <mergeCell ref="E20:E21"/>
    <mergeCell ref="F20:F21"/>
    <mergeCell ref="G20:G21"/>
    <mergeCell ref="H20:H21"/>
    <mergeCell ref="I20:I21"/>
    <mergeCell ref="J16:J17"/>
    <mergeCell ref="A18:A19"/>
    <mergeCell ref="B18:B19"/>
    <mergeCell ref="C18:C19"/>
    <mergeCell ref="D18:D19"/>
    <mergeCell ref="E18:E19"/>
    <mergeCell ref="F18:F19"/>
    <mergeCell ref="G18:G19"/>
    <mergeCell ref="H18:H19"/>
    <mergeCell ref="I18:I19"/>
    <mergeCell ref="J18:J19"/>
    <mergeCell ref="A16:A17"/>
    <mergeCell ref="B16:B17"/>
    <mergeCell ref="C16:C17"/>
    <mergeCell ref="D16:D17"/>
    <mergeCell ref="E16:E17"/>
    <mergeCell ref="F16:F17"/>
    <mergeCell ref="G16:G17"/>
    <mergeCell ref="H16:H17"/>
    <mergeCell ref="I16:I17"/>
    <mergeCell ref="J12:J13"/>
    <mergeCell ref="A14:A15"/>
    <mergeCell ref="B14:B15"/>
    <mergeCell ref="C14:C15"/>
    <mergeCell ref="D14:D15"/>
    <mergeCell ref="E14:E15"/>
    <mergeCell ref="F14:F15"/>
    <mergeCell ref="G14:G15"/>
    <mergeCell ref="H14:H15"/>
    <mergeCell ref="I14:I15"/>
    <mergeCell ref="J14:J15"/>
    <mergeCell ref="A12:A13"/>
    <mergeCell ref="B12:B13"/>
    <mergeCell ref="C12:C13"/>
    <mergeCell ref="D12:D13"/>
    <mergeCell ref="E12:E13"/>
    <mergeCell ref="F12:F13"/>
    <mergeCell ref="G12:G13"/>
    <mergeCell ref="H12:H13"/>
    <mergeCell ref="I12:I13"/>
    <mergeCell ref="J8:J9"/>
    <mergeCell ref="A10:A11"/>
    <mergeCell ref="B10:B11"/>
    <mergeCell ref="C10:C11"/>
    <mergeCell ref="D10:D11"/>
    <mergeCell ref="E10:E11"/>
    <mergeCell ref="F10:F11"/>
    <mergeCell ref="G10:G11"/>
    <mergeCell ref="H10:H11"/>
    <mergeCell ref="I10:I11"/>
    <mergeCell ref="J10:J11"/>
    <mergeCell ref="A8:A9"/>
    <mergeCell ref="B8:B9"/>
    <mergeCell ref="C8:C9"/>
    <mergeCell ref="D8:D9"/>
    <mergeCell ref="E8:E9"/>
    <mergeCell ref="F8:F9"/>
    <mergeCell ref="G8:G9"/>
    <mergeCell ref="H8:H9"/>
    <mergeCell ref="I8:I9"/>
    <mergeCell ref="G4:G5"/>
    <mergeCell ref="H4:H5"/>
    <mergeCell ref="I4:I5"/>
    <mergeCell ref="J4:J5"/>
    <mergeCell ref="A6:A7"/>
    <mergeCell ref="B6:B7"/>
    <mergeCell ref="C6:C7"/>
    <mergeCell ref="D6:D7"/>
    <mergeCell ref="E6:E7"/>
    <mergeCell ref="F6:F7"/>
    <mergeCell ref="A4:A5"/>
    <mergeCell ref="B4:B5"/>
    <mergeCell ref="C4:C5"/>
    <mergeCell ref="D4:D5"/>
    <mergeCell ref="E4:E5"/>
    <mergeCell ref="F4:F5"/>
    <mergeCell ref="G6:G7"/>
    <mergeCell ref="H6:H7"/>
    <mergeCell ref="I6:I7"/>
    <mergeCell ref="J6:J7"/>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L24"/>
  <sheetViews>
    <sheetView workbookViewId="0">
      <selection activeCell="J43" sqref="J43"/>
    </sheetView>
  </sheetViews>
  <sheetFormatPr baseColWidth="10" defaultColWidth="11.42578125" defaultRowHeight="15" x14ac:dyDescent="0.25"/>
  <cols>
    <col min="1" max="1" width="21.85546875" bestFit="1" customWidth="1"/>
    <col min="2" max="2" width="18.140625" bestFit="1" customWidth="1"/>
    <col min="3" max="3" width="13.5703125" bestFit="1" customWidth="1"/>
    <col min="4" max="4" width="5.7109375" style="397" bestFit="1" customWidth="1"/>
    <col min="5" max="5" width="5.85546875" bestFit="1" customWidth="1"/>
    <col min="6" max="6" width="5.42578125" bestFit="1" customWidth="1"/>
    <col min="7" max="7" width="6.140625" bestFit="1" customWidth="1"/>
    <col min="8" max="8" width="10.7109375" bestFit="1" customWidth="1"/>
    <col min="10" max="10" width="21.85546875" bestFit="1" customWidth="1"/>
    <col min="11" max="11" width="18.140625" bestFit="1" customWidth="1"/>
    <col min="12" max="12" width="16" customWidth="1"/>
  </cols>
  <sheetData>
    <row r="1" spans="1:12" x14ac:dyDescent="0.25">
      <c r="A1" s="388" t="s">
        <v>1526</v>
      </c>
      <c r="B1" s="401">
        <v>41377</v>
      </c>
      <c r="C1" s="48" t="s">
        <v>24</v>
      </c>
      <c r="K1" s="30">
        <v>42154</v>
      </c>
    </row>
    <row r="2" spans="1:12" x14ac:dyDescent="0.25">
      <c r="A2" s="395" t="s">
        <v>1527</v>
      </c>
      <c r="B2" s="396" t="s">
        <v>1528</v>
      </c>
      <c r="C2" s="396" t="s">
        <v>1529</v>
      </c>
      <c r="D2" s="398" t="s">
        <v>52</v>
      </c>
      <c r="H2" s="30"/>
      <c r="J2" s="395" t="s">
        <v>2235</v>
      </c>
      <c r="K2" s="396" t="s">
        <v>2236</v>
      </c>
      <c r="L2" s="396" t="s">
        <v>1529</v>
      </c>
    </row>
    <row r="3" spans="1:12" x14ac:dyDescent="0.25">
      <c r="A3" s="393" t="s">
        <v>1530</v>
      </c>
      <c r="B3" s="389">
        <v>8516</v>
      </c>
      <c r="C3" s="391">
        <v>0.01</v>
      </c>
      <c r="D3" s="399">
        <f>B3/$B$14</f>
        <v>1.4838253281804844E-2</v>
      </c>
      <c r="E3" s="61">
        <f>L3-D3</f>
        <v>4.0057524186193159E-3</v>
      </c>
      <c r="H3" s="30"/>
      <c r="J3" s="393" t="s">
        <v>2237</v>
      </c>
      <c r="K3" s="389">
        <v>6704</v>
      </c>
      <c r="L3" s="580">
        <f>K3/$K$14</f>
        <v>1.884400570042416E-2</v>
      </c>
    </row>
    <row r="4" spans="1:12" x14ac:dyDescent="0.25">
      <c r="A4" s="394" t="s">
        <v>49</v>
      </c>
      <c r="B4" s="390">
        <v>111946</v>
      </c>
      <c r="C4" s="392">
        <v>0.2</v>
      </c>
      <c r="D4" s="399">
        <f t="shared" ref="D4:D13" si="0">B4/$B$14</f>
        <v>0.19505438021194518</v>
      </c>
      <c r="E4" s="61">
        <f t="shared" ref="E4:E13" si="1">L4-D4</f>
        <v>4.2946246030580726E-3</v>
      </c>
      <c r="J4" s="394" t="s">
        <v>2238</v>
      </c>
      <c r="K4" s="390">
        <v>70921</v>
      </c>
      <c r="L4" s="580">
        <f t="shared" ref="L4:L13" si="2">K4/$K$14</f>
        <v>0.19934900481500326</v>
      </c>
    </row>
    <row r="5" spans="1:12" x14ac:dyDescent="0.25">
      <c r="A5" s="393" t="s">
        <v>1531</v>
      </c>
      <c r="B5" s="389">
        <v>98421</v>
      </c>
      <c r="C5" s="391">
        <v>0.17</v>
      </c>
      <c r="D5" s="399">
        <f t="shared" si="0"/>
        <v>0.17148846010433474</v>
      </c>
      <c r="E5" s="61">
        <f t="shared" si="1"/>
        <v>-1.7801876620386153E-2</v>
      </c>
      <c r="J5" s="393" t="s">
        <v>2239</v>
      </c>
      <c r="K5" s="389">
        <v>54676</v>
      </c>
      <c r="L5" s="580">
        <f t="shared" si="2"/>
        <v>0.15368658348394859</v>
      </c>
    </row>
    <row r="6" spans="1:12" x14ac:dyDescent="0.25">
      <c r="A6" s="394" t="s">
        <v>1532</v>
      </c>
      <c r="B6" s="390">
        <v>43561</v>
      </c>
      <c r="C6" s="392">
        <v>0.08</v>
      </c>
      <c r="D6" s="399">
        <f t="shared" si="0"/>
        <v>7.5900557915535558E-2</v>
      </c>
      <c r="E6" s="61">
        <f t="shared" si="1"/>
        <v>1.7297746373156342E-3</v>
      </c>
      <c r="J6" s="394" t="s">
        <v>2240</v>
      </c>
      <c r="K6" s="390">
        <v>27618</v>
      </c>
      <c r="L6" s="580">
        <f t="shared" si="2"/>
        <v>7.7630332552851192E-2</v>
      </c>
    </row>
    <row r="7" spans="1:12" x14ac:dyDescent="0.25">
      <c r="A7" s="393" t="s">
        <v>1533</v>
      </c>
      <c r="B7" s="389">
        <v>11640</v>
      </c>
      <c r="C7" s="391">
        <v>0.02</v>
      </c>
      <c r="D7" s="399">
        <f t="shared" si="0"/>
        <v>2.0281501667473976E-2</v>
      </c>
      <c r="E7" s="61">
        <f t="shared" si="1"/>
        <v>-2.6855178242974793E-3</v>
      </c>
      <c r="J7" s="393" t="s">
        <v>2241</v>
      </c>
      <c r="K7" s="389">
        <v>6260</v>
      </c>
      <c r="L7" s="580">
        <f t="shared" si="2"/>
        <v>1.7595983843176496E-2</v>
      </c>
    </row>
    <row r="8" spans="1:12" x14ac:dyDescent="0.25">
      <c r="A8" s="394" t="s">
        <v>1534</v>
      </c>
      <c r="B8" s="390">
        <v>43604</v>
      </c>
      <c r="C8" s="392">
        <v>0.08</v>
      </c>
      <c r="D8" s="399">
        <f t="shared" si="0"/>
        <v>7.5975480988705782E-2</v>
      </c>
      <c r="E8" s="61">
        <f t="shared" si="1"/>
        <v>1.3575708988891669E-2</v>
      </c>
      <c r="J8" s="394" t="s">
        <v>2242</v>
      </c>
      <c r="K8" s="390">
        <v>31859</v>
      </c>
      <c r="L8" s="580">
        <f t="shared" si="2"/>
        <v>8.9551189977597451E-2</v>
      </c>
    </row>
    <row r="9" spans="1:12" x14ac:dyDescent="0.25">
      <c r="A9" s="393" t="s">
        <v>1289</v>
      </c>
      <c r="B9" s="389">
        <v>176780</v>
      </c>
      <c r="C9" s="391">
        <v>0.31</v>
      </c>
      <c r="D9" s="399">
        <f t="shared" si="0"/>
        <v>0.30802095058213486</v>
      </c>
      <c r="E9" s="61">
        <f t="shared" si="1"/>
        <v>2.2358299780461666E-4</v>
      </c>
      <c r="J9" s="393" t="s">
        <v>2243</v>
      </c>
      <c r="K9" s="389">
        <v>109662</v>
      </c>
      <c r="L9" s="580">
        <f t="shared" si="2"/>
        <v>0.30824453357993947</v>
      </c>
    </row>
    <row r="10" spans="1:12" x14ac:dyDescent="0.25">
      <c r="A10" s="394" t="s">
        <v>1535</v>
      </c>
      <c r="B10" s="390">
        <v>47762</v>
      </c>
      <c r="C10" s="392">
        <v>0.08</v>
      </c>
      <c r="D10" s="399">
        <f t="shared" si="0"/>
        <v>8.3220367924561181E-2</v>
      </c>
      <c r="E10" s="61">
        <f t="shared" si="1"/>
        <v>-3.1405107879588223E-4</v>
      </c>
      <c r="J10" s="394" t="s">
        <v>2244</v>
      </c>
      <c r="K10" s="390">
        <v>29495</v>
      </c>
      <c r="L10" s="580">
        <f t="shared" si="2"/>
        <v>8.2906316845765299E-2</v>
      </c>
    </row>
    <row r="11" spans="1:12" x14ac:dyDescent="0.25">
      <c r="A11" s="393" t="s">
        <v>1536</v>
      </c>
      <c r="B11" s="389">
        <v>11315</v>
      </c>
      <c r="C11" s="391">
        <v>0.02</v>
      </c>
      <c r="D11" s="399">
        <f t="shared" si="0"/>
        <v>1.9715222626071137E-2</v>
      </c>
      <c r="E11" s="61">
        <f t="shared" si="1"/>
        <v>7.885376748299755E-5</v>
      </c>
      <c r="J11" s="393" t="s">
        <v>2245</v>
      </c>
      <c r="K11" s="389">
        <v>7042</v>
      </c>
      <c r="L11" s="580">
        <f t="shared" si="2"/>
        <v>1.9794076393554134E-2</v>
      </c>
    </row>
    <row r="12" spans="1:12" x14ac:dyDescent="0.25">
      <c r="A12" s="394" t="s">
        <v>1537</v>
      </c>
      <c r="B12" s="390">
        <v>10382</v>
      </c>
      <c r="C12" s="392">
        <v>0.02</v>
      </c>
      <c r="D12" s="399">
        <f t="shared" si="0"/>
        <v>1.8089566177982373E-2</v>
      </c>
      <c r="E12" s="61">
        <f t="shared" si="1"/>
        <v>-8.7304844005009832E-4</v>
      </c>
      <c r="J12" s="394" t="s">
        <v>2246</v>
      </c>
      <c r="K12" s="390">
        <v>6125</v>
      </c>
      <c r="L12" s="580">
        <f t="shared" si="2"/>
        <v>1.7216517737932275E-2</v>
      </c>
    </row>
    <row r="13" spans="1:12" x14ac:dyDescent="0.25">
      <c r="A13" s="393" t="s">
        <v>1538</v>
      </c>
      <c r="B13" s="389">
        <v>9995</v>
      </c>
      <c r="C13" s="391">
        <v>0.02</v>
      </c>
      <c r="D13" s="399">
        <f t="shared" si="0"/>
        <v>1.7415258519450378E-2</v>
      </c>
      <c r="E13" s="61">
        <f t="shared" si="1"/>
        <v>-2.2338034496426681E-3</v>
      </c>
      <c r="J13" s="393" t="s">
        <v>2247</v>
      </c>
      <c r="K13" s="389">
        <v>5401</v>
      </c>
      <c r="L13" s="580">
        <f t="shared" si="2"/>
        <v>1.518145506980771E-2</v>
      </c>
    </row>
    <row r="14" spans="1:12" x14ac:dyDescent="0.25">
      <c r="B14" s="11">
        <f>SUM(B3:B13)</f>
        <v>573922</v>
      </c>
      <c r="K14" s="11">
        <f>SUM(K3:K13)</f>
        <v>355763</v>
      </c>
    </row>
    <row r="17" spans="1:9" x14ac:dyDescent="0.25">
      <c r="A17" s="387">
        <v>352</v>
      </c>
      <c r="B17" s="11">
        <v>1</v>
      </c>
      <c r="C17" s="11">
        <v>3</v>
      </c>
      <c r="D17" s="398">
        <v>5</v>
      </c>
      <c r="E17" s="11">
        <v>2</v>
      </c>
      <c r="F17" s="368" t="s">
        <v>817</v>
      </c>
      <c r="G17" s="17">
        <f>SUM(F18:F23)</f>
        <v>19.8</v>
      </c>
      <c r="H17" s="17">
        <f>SUM(F18:F24)</f>
        <v>21.8</v>
      </c>
    </row>
    <row r="18" spans="1:9" x14ac:dyDescent="0.25">
      <c r="A18" s="11" t="s">
        <v>1535</v>
      </c>
      <c r="B18" s="11">
        <v>1</v>
      </c>
      <c r="C18" s="11">
        <v>0</v>
      </c>
      <c r="D18" s="398">
        <v>0</v>
      </c>
      <c r="E18" s="11">
        <v>0</v>
      </c>
      <c r="F18" s="368">
        <f>(B18*B$17)+(C18*C$17)+(D18*D$17)+(E18*E$17)</f>
        <v>1</v>
      </c>
      <c r="G18" s="400">
        <f>F18/G$17</f>
        <v>5.0505050505050504E-2</v>
      </c>
      <c r="H18" s="400">
        <f>F18/H$17</f>
        <v>4.5871559633027519E-2</v>
      </c>
      <c r="I18" s="61">
        <f>H18-L10</f>
        <v>-3.703475721273778E-2</v>
      </c>
    </row>
    <row r="19" spans="1:9" x14ac:dyDescent="0.25">
      <c r="A19" s="11" t="s">
        <v>49</v>
      </c>
      <c r="B19" s="11">
        <v>0.3</v>
      </c>
      <c r="C19" s="11">
        <v>1</v>
      </c>
      <c r="D19" s="398">
        <v>0.3</v>
      </c>
      <c r="E19" s="11">
        <v>0</v>
      </c>
      <c r="F19" s="368">
        <f t="shared" ref="F19:F24" si="3">(B19*B$17)+(C19*C$17)+(D19*D$17)+(E19*E$17)</f>
        <v>4.8</v>
      </c>
      <c r="G19" s="400">
        <f t="shared" ref="G19:G24" si="4">F19/G$17</f>
        <v>0.2424242424242424</v>
      </c>
      <c r="H19" s="400">
        <f t="shared" ref="H19:H24" si="5">F19/H$17</f>
        <v>0.22018348623853209</v>
      </c>
      <c r="I19" s="61">
        <f>H19-L12-L4</f>
        <v>3.6179636855965536E-3</v>
      </c>
    </row>
    <row r="20" spans="1:9" x14ac:dyDescent="0.25">
      <c r="A20" s="11" t="s">
        <v>283</v>
      </c>
      <c r="B20" s="11">
        <v>0</v>
      </c>
      <c r="C20" s="11">
        <v>0.3</v>
      </c>
      <c r="D20" s="398">
        <v>1</v>
      </c>
      <c r="E20" s="11">
        <v>0.3</v>
      </c>
      <c r="F20" s="368">
        <f t="shared" si="3"/>
        <v>6.5</v>
      </c>
      <c r="G20" s="400">
        <f t="shared" si="4"/>
        <v>0.32828282828282829</v>
      </c>
      <c r="H20" s="400">
        <f t="shared" si="5"/>
        <v>0.29816513761467889</v>
      </c>
      <c r="I20" s="61">
        <f>H20-L9</f>
        <v>-1.0079395965260585E-2</v>
      </c>
    </row>
    <row r="21" spans="1:9" x14ac:dyDescent="0.25">
      <c r="A21" s="11" t="s">
        <v>56</v>
      </c>
      <c r="B21" s="11">
        <v>0</v>
      </c>
      <c r="C21" s="11">
        <v>0.3</v>
      </c>
      <c r="D21" s="398">
        <v>0.2</v>
      </c>
      <c r="E21" s="11">
        <v>0.3</v>
      </c>
      <c r="F21" s="368">
        <f t="shared" si="3"/>
        <v>2.5</v>
      </c>
      <c r="G21" s="400">
        <f t="shared" si="4"/>
        <v>0.12626262626262627</v>
      </c>
      <c r="H21" s="400">
        <f t="shared" si="5"/>
        <v>0.1146788990825688</v>
      </c>
      <c r="I21" s="61">
        <f>H21-L13-L6</f>
        <v>2.1867111459909896E-2</v>
      </c>
    </row>
    <row r="22" spans="1:9" x14ac:dyDescent="0.25">
      <c r="A22" s="11" t="s">
        <v>284</v>
      </c>
      <c r="B22" s="11">
        <v>0</v>
      </c>
      <c r="C22" s="11">
        <v>0.3</v>
      </c>
      <c r="D22" s="398">
        <v>0.3</v>
      </c>
      <c r="E22" s="11">
        <v>0.3</v>
      </c>
      <c r="F22" s="368">
        <f t="shared" si="3"/>
        <v>3</v>
      </c>
      <c r="G22" s="400">
        <f t="shared" si="4"/>
        <v>0.15151515151515152</v>
      </c>
      <c r="H22" s="400">
        <f t="shared" si="5"/>
        <v>0.13761467889908258</v>
      </c>
      <c r="I22" s="61">
        <f>H22-L8-L11</f>
        <v>2.8269412527930991E-2</v>
      </c>
    </row>
    <row r="23" spans="1:9" x14ac:dyDescent="0.25">
      <c r="A23" s="11" t="s">
        <v>285</v>
      </c>
      <c r="B23" s="11">
        <v>0</v>
      </c>
      <c r="C23" s="11">
        <v>0</v>
      </c>
      <c r="D23" s="398">
        <v>0</v>
      </c>
      <c r="E23" s="11">
        <v>1</v>
      </c>
      <c r="F23" s="368">
        <f t="shared" si="3"/>
        <v>2</v>
      </c>
      <c r="G23" s="400">
        <f t="shared" si="4"/>
        <v>0.10101010101010101</v>
      </c>
      <c r="H23" s="400">
        <f t="shared" si="5"/>
        <v>9.1743119266055037E-2</v>
      </c>
      <c r="I23" s="61">
        <f>H23-L5</f>
        <v>-6.1943464217893554E-2</v>
      </c>
    </row>
    <row r="24" spans="1:9" x14ac:dyDescent="0.25">
      <c r="A24" s="11" t="s">
        <v>1490</v>
      </c>
      <c r="B24" s="11">
        <v>1</v>
      </c>
      <c r="C24" s="11">
        <v>0.1</v>
      </c>
      <c r="D24" s="398">
        <v>0.1</v>
      </c>
      <c r="E24" s="11">
        <v>0.1</v>
      </c>
      <c r="F24" s="368">
        <f t="shared" si="3"/>
        <v>2</v>
      </c>
      <c r="G24" s="400">
        <f t="shared" si="4"/>
        <v>0.10101010101010101</v>
      </c>
      <c r="H24" s="400">
        <f t="shared" si="5"/>
        <v>9.1743119266055037E-2</v>
      </c>
      <c r="I24" s="61">
        <f>H24-L7-L3</f>
        <v>5.5303129722454381E-2</v>
      </c>
    </row>
  </sheetData>
  <conditionalFormatting sqref="I18:I24">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5"/>
  <sheetViews>
    <sheetView zoomScale="90" zoomScaleNormal="90" workbookViewId="0">
      <pane xSplit="3" ySplit="4" topLeftCell="D5" activePane="bottomRight" state="frozen"/>
      <selection pane="topRight" activeCell="D1" sqref="D1"/>
      <selection pane="bottomLeft" activeCell="A5" sqref="A5"/>
      <selection pane="bottomRight" activeCell="D20" sqref="D20"/>
    </sheetView>
  </sheetViews>
  <sheetFormatPr baseColWidth="10" defaultColWidth="11.42578125" defaultRowHeight="15" x14ac:dyDescent="0.25"/>
  <cols>
    <col min="1" max="1" width="23" style="2" bestFit="1" customWidth="1"/>
    <col min="2" max="2" width="16" style="2" customWidth="1"/>
    <col min="3" max="3" width="16.7109375" style="2" bestFit="1" customWidth="1"/>
    <col min="4" max="4" width="13" bestFit="1" customWidth="1"/>
    <col min="5" max="5" width="16.7109375" style="14" bestFit="1" customWidth="1"/>
    <col min="6" max="6" width="14.42578125" bestFit="1" customWidth="1"/>
    <col min="7" max="7" width="14.42578125" style="97" bestFit="1" customWidth="1"/>
    <col min="8" max="9" width="14.42578125" bestFit="1" customWidth="1"/>
    <col min="10" max="18" width="14.42578125" style="5" bestFit="1" customWidth="1"/>
    <col min="19" max="19" width="16.7109375" style="5" bestFit="1" customWidth="1"/>
    <col min="20" max="24" width="11.42578125" style="5"/>
    <col min="25" max="25" width="15.42578125" style="5" bestFit="1" customWidth="1"/>
    <col min="26" max="26" width="9.7109375" style="5" bestFit="1" customWidth="1"/>
    <col min="27" max="16384" width="11.42578125" style="5"/>
  </cols>
  <sheetData>
    <row r="1" spans="1:27" ht="23.25" x14ac:dyDescent="0.35">
      <c r="A1" s="156" t="s">
        <v>13</v>
      </c>
    </row>
    <row r="2" spans="1:27" s="178" customFormat="1" ht="12.75" x14ac:dyDescent="0.2">
      <c r="B2" s="179"/>
      <c r="C2" s="179"/>
      <c r="D2" s="180">
        <v>40957</v>
      </c>
      <c r="E2" s="181">
        <f>D2+7</f>
        <v>40964</v>
      </c>
      <c r="F2" s="181">
        <f>E2+7</f>
        <v>40971</v>
      </c>
      <c r="G2" s="181">
        <f>F2+7</f>
        <v>40978</v>
      </c>
      <c r="H2" s="181">
        <f>G2+7</f>
        <v>40985</v>
      </c>
      <c r="I2" s="181">
        <f>H2+7</f>
        <v>40992</v>
      </c>
      <c r="J2" s="181">
        <f t="shared" ref="J2:S2" si="0">I2+7</f>
        <v>40999</v>
      </c>
      <c r="K2" s="181">
        <f t="shared" si="0"/>
        <v>41006</v>
      </c>
      <c r="L2" s="181">
        <f t="shared" si="0"/>
        <v>41013</v>
      </c>
      <c r="M2" s="181">
        <f t="shared" si="0"/>
        <v>41020</v>
      </c>
      <c r="N2" s="181">
        <f t="shared" si="0"/>
        <v>41027</v>
      </c>
      <c r="O2" s="181">
        <f t="shared" si="0"/>
        <v>41034</v>
      </c>
      <c r="P2" s="181">
        <f t="shared" si="0"/>
        <v>41041</v>
      </c>
      <c r="Q2" s="181">
        <f t="shared" si="0"/>
        <v>41048</v>
      </c>
      <c r="R2" s="181">
        <f t="shared" si="0"/>
        <v>41055</v>
      </c>
      <c r="S2" s="181">
        <f t="shared" si="0"/>
        <v>41062</v>
      </c>
    </row>
    <row r="3" spans="1:27" s="6" customFormat="1" x14ac:dyDescent="0.25">
      <c r="A3" s="27"/>
      <c r="B3" s="27" t="s">
        <v>880</v>
      </c>
      <c r="C3" s="28"/>
      <c r="D3" s="52" t="s">
        <v>16</v>
      </c>
      <c r="E3" s="52" t="s">
        <v>715</v>
      </c>
      <c r="F3" s="52" t="s">
        <v>702</v>
      </c>
      <c r="G3" s="52" t="s">
        <v>703</v>
      </c>
      <c r="H3" s="52" t="s">
        <v>704</v>
      </c>
      <c r="I3" s="52" t="s">
        <v>705</v>
      </c>
      <c r="J3" s="52" t="s">
        <v>21</v>
      </c>
      <c r="K3" s="52" t="s">
        <v>22</v>
      </c>
      <c r="L3" s="52" t="s">
        <v>23</v>
      </c>
      <c r="M3" s="52" t="s">
        <v>17</v>
      </c>
      <c r="N3" s="52" t="s">
        <v>18</v>
      </c>
      <c r="O3" s="52" t="s">
        <v>24</v>
      </c>
      <c r="P3" s="52" t="s">
        <v>25</v>
      </c>
      <c r="Q3" s="52" t="s">
        <v>26</v>
      </c>
      <c r="R3" s="52" t="s">
        <v>27</v>
      </c>
      <c r="S3" s="52" t="s">
        <v>28</v>
      </c>
    </row>
    <row r="4" spans="1:27" s="6" customFormat="1" x14ac:dyDescent="0.25">
      <c r="A4" s="27"/>
      <c r="B4" s="149"/>
      <c r="C4" s="149" t="s">
        <v>42</v>
      </c>
      <c r="D4" s="148">
        <f>562-7</f>
        <v>555</v>
      </c>
      <c r="E4" s="148">
        <v>569</v>
      </c>
      <c r="F4" s="148">
        <v>583</v>
      </c>
      <c r="G4" s="148">
        <v>593</v>
      </c>
      <c r="H4" s="148">
        <v>607</v>
      </c>
      <c r="I4" s="148">
        <f>H4+18</f>
        <v>625</v>
      </c>
      <c r="J4" s="148">
        <v>643</v>
      </c>
      <c r="K4" s="148">
        <f>J4+18</f>
        <v>661</v>
      </c>
      <c r="L4" s="148">
        <v>675</v>
      </c>
      <c r="M4" s="148">
        <f>L4+18</f>
        <v>693</v>
      </c>
      <c r="N4" s="148">
        <v>709</v>
      </c>
      <c r="O4" s="148">
        <f>N4+16</f>
        <v>725</v>
      </c>
      <c r="P4" s="148">
        <f>O4+16</f>
        <v>741</v>
      </c>
      <c r="Q4" s="148">
        <f>P4+16</f>
        <v>757</v>
      </c>
      <c r="R4" s="148">
        <f>Q4+16</f>
        <v>773</v>
      </c>
      <c r="S4" s="148">
        <v>886</v>
      </c>
    </row>
    <row r="5" spans="1:27" s="7" customFormat="1" ht="18.75" x14ac:dyDescent="0.3">
      <c r="A5" s="29" t="s">
        <v>12</v>
      </c>
      <c r="B5" s="9"/>
      <c r="C5" s="197">
        <v>64745</v>
      </c>
      <c r="D5" s="197">
        <f>C5</f>
        <v>64745</v>
      </c>
      <c r="E5" s="197">
        <f t="shared" ref="E5:S5" si="1">D24</f>
        <v>29118</v>
      </c>
      <c r="F5" s="197">
        <f t="shared" si="1"/>
        <v>253800</v>
      </c>
      <c r="G5" s="197">
        <f t="shared" si="1"/>
        <v>473436</v>
      </c>
      <c r="H5" s="197">
        <f t="shared" si="1"/>
        <v>421938</v>
      </c>
      <c r="I5" s="197">
        <f t="shared" si="1"/>
        <v>423352</v>
      </c>
      <c r="J5" s="197">
        <f t="shared" si="1"/>
        <v>509161</v>
      </c>
      <c r="K5" s="197">
        <f t="shared" si="1"/>
        <v>276977</v>
      </c>
      <c r="L5" s="197">
        <f t="shared" si="1"/>
        <v>462022</v>
      </c>
      <c r="M5" s="197">
        <f t="shared" si="1"/>
        <v>95558</v>
      </c>
      <c r="N5" s="197">
        <f t="shared" si="1"/>
        <v>204537</v>
      </c>
      <c r="O5" s="197">
        <f t="shared" si="1"/>
        <v>182462</v>
      </c>
      <c r="P5" s="197">
        <f t="shared" si="1"/>
        <v>137057</v>
      </c>
      <c r="Q5" s="197">
        <f t="shared" si="1"/>
        <v>41577</v>
      </c>
      <c r="R5" s="197">
        <f t="shared" si="1"/>
        <v>145266</v>
      </c>
      <c r="S5" s="197">
        <f t="shared" si="1"/>
        <v>379789</v>
      </c>
    </row>
    <row r="6" spans="1:27" x14ac:dyDescent="0.25">
      <c r="A6" s="8" t="s">
        <v>0</v>
      </c>
      <c r="B6" s="8" t="s">
        <v>0</v>
      </c>
      <c r="C6" s="199">
        <f>SUM(D6:S6)</f>
        <v>888988</v>
      </c>
      <c r="D6" s="200">
        <v>1613</v>
      </c>
      <c r="E6" s="200">
        <v>6628</v>
      </c>
      <c r="F6" s="200">
        <f>80599+4241</f>
        <v>84840</v>
      </c>
      <c r="G6" s="200">
        <v>73184</v>
      </c>
      <c r="H6" s="200">
        <v>4015</v>
      </c>
      <c r="I6" s="200">
        <v>123289</v>
      </c>
      <c r="J6" s="200">
        <v>9051</v>
      </c>
      <c r="K6" s="200">
        <v>125207</v>
      </c>
      <c r="L6" s="200">
        <v>4092</v>
      </c>
      <c r="M6" s="200">
        <v>157227</v>
      </c>
      <c r="N6" s="200">
        <v>4193</v>
      </c>
      <c r="O6" s="200">
        <v>128499</v>
      </c>
      <c r="P6" s="200">
        <v>3375</v>
      </c>
      <c r="Q6" s="200">
        <v>4545</v>
      </c>
      <c r="R6" s="200">
        <v>155861</v>
      </c>
      <c r="S6" s="200">
        <v>3369</v>
      </c>
      <c r="Y6" s="8" t="s">
        <v>0</v>
      </c>
      <c r="Z6" s="219">
        <f>C6/$C$13</f>
        <v>0.1095534484477521</v>
      </c>
    </row>
    <row r="7" spans="1:27" x14ac:dyDescent="0.25">
      <c r="A7" s="8" t="s">
        <v>2</v>
      </c>
      <c r="B7" s="8" t="s">
        <v>2</v>
      </c>
      <c r="C7" s="199">
        <f t="shared" ref="C7:C23" si="2">SUM(D7:S7)</f>
        <v>731385</v>
      </c>
      <c r="D7" s="202">
        <v>38670</v>
      </c>
      <c r="E7" s="202">
        <v>41075</v>
      </c>
      <c r="F7" s="202">
        <v>42555</v>
      </c>
      <c r="G7" s="202">
        <v>43480</v>
      </c>
      <c r="H7" s="202">
        <v>44220</v>
      </c>
      <c r="I7" s="202">
        <v>44960</v>
      </c>
      <c r="J7" s="202">
        <v>45515</v>
      </c>
      <c r="K7" s="202">
        <v>46070</v>
      </c>
      <c r="L7" s="202">
        <v>46440</v>
      </c>
      <c r="M7" s="202">
        <v>46995</v>
      </c>
      <c r="N7" s="202">
        <v>47365</v>
      </c>
      <c r="O7" s="202">
        <v>47920</v>
      </c>
      <c r="P7" s="202">
        <v>48290</v>
      </c>
      <c r="Q7" s="202">
        <v>48845</v>
      </c>
      <c r="R7" s="202">
        <v>49215</v>
      </c>
      <c r="S7" s="202">
        <v>49770</v>
      </c>
      <c r="Y7" s="8" t="s">
        <v>2</v>
      </c>
      <c r="Z7" s="219">
        <f t="shared" ref="Z7:Z12" si="3">C7/$C$13</f>
        <v>9.0131417851488621E-2</v>
      </c>
    </row>
    <row r="8" spans="1:27" x14ac:dyDescent="0.25">
      <c r="A8" s="8" t="s">
        <v>3</v>
      </c>
      <c r="B8" s="8" t="s">
        <v>48</v>
      </c>
      <c r="C8" s="199">
        <f t="shared" si="2"/>
        <v>5770643</v>
      </c>
      <c r="D8" s="200">
        <v>0</v>
      </c>
      <c r="E8" s="200">
        <f>95000+1042675+42581</f>
        <v>1180256</v>
      </c>
      <c r="F8" s="200">
        <f>112000+70000+237585</f>
        <v>419585</v>
      </c>
      <c r="G8" s="200">
        <f>572309-G9+840</f>
        <v>193149</v>
      </c>
      <c r="H8" s="200">
        <f>32710+56730</f>
        <v>89440</v>
      </c>
      <c r="I8" s="200">
        <v>0</v>
      </c>
      <c r="J8" s="200">
        <v>7270</v>
      </c>
      <c r="K8" s="200">
        <f>799266-12000</f>
        <v>787266</v>
      </c>
      <c r="L8" s="200">
        <v>1860</v>
      </c>
      <c r="M8" s="200">
        <v>0</v>
      </c>
      <c r="N8" s="200">
        <v>876283</v>
      </c>
      <c r="O8" s="200">
        <v>74674</v>
      </c>
      <c r="P8" s="200">
        <v>0</v>
      </c>
      <c r="Q8" s="200">
        <v>451050</v>
      </c>
      <c r="R8" s="200">
        <v>743070</v>
      </c>
      <c r="S8" s="200">
        <v>946740</v>
      </c>
      <c r="Y8" s="8" t="s">
        <v>48</v>
      </c>
      <c r="Z8" s="219">
        <f t="shared" si="3"/>
        <v>0.7111387784884402</v>
      </c>
    </row>
    <row r="9" spans="1:27" x14ac:dyDescent="0.25">
      <c r="A9" s="8"/>
      <c r="B9" s="8" t="s">
        <v>820</v>
      </c>
      <c r="C9" s="199">
        <f t="shared" si="2"/>
        <v>534055</v>
      </c>
      <c r="D9" s="200">
        <v>0</v>
      </c>
      <c r="E9" s="200">
        <f>31455</f>
        <v>31455</v>
      </c>
      <c r="F9" s="200">
        <v>15600</v>
      </c>
      <c r="G9" s="200">
        <v>380000</v>
      </c>
      <c r="H9" s="200">
        <v>0</v>
      </c>
      <c r="I9" s="200">
        <v>0</v>
      </c>
      <c r="J9" s="200">
        <v>0</v>
      </c>
      <c r="K9" s="200">
        <v>12000</v>
      </c>
      <c r="L9" s="200">
        <v>0</v>
      </c>
      <c r="M9" s="200">
        <v>0</v>
      </c>
      <c r="N9" s="200">
        <v>38150</v>
      </c>
      <c r="O9" s="200">
        <v>35000</v>
      </c>
      <c r="P9" s="200">
        <v>0</v>
      </c>
      <c r="Q9" s="200">
        <v>0</v>
      </c>
      <c r="R9" s="200">
        <v>21850</v>
      </c>
      <c r="S9" s="200">
        <v>0</v>
      </c>
      <c r="Y9" s="8" t="s">
        <v>820</v>
      </c>
      <c r="Z9" s="219">
        <f t="shared" si="3"/>
        <v>6.5813674549897463E-2</v>
      </c>
      <c r="AA9" s="279">
        <f>Z9+Z8</f>
        <v>0.77695245303833771</v>
      </c>
    </row>
    <row r="10" spans="1:27" x14ac:dyDescent="0.25">
      <c r="A10" s="8" t="s">
        <v>5</v>
      </c>
      <c r="B10" s="8" t="s">
        <v>5</v>
      </c>
      <c r="C10" s="199">
        <f t="shared" si="2"/>
        <v>102420</v>
      </c>
      <c r="D10" s="202">
        <v>0</v>
      </c>
      <c r="E10" s="202">
        <v>0</v>
      </c>
      <c r="F10" s="202">
        <v>0</v>
      </c>
      <c r="G10" s="202">
        <v>0</v>
      </c>
      <c r="H10" s="202">
        <v>10285</v>
      </c>
      <c r="I10" s="202">
        <v>0</v>
      </c>
      <c r="J10" s="202">
        <v>59375</v>
      </c>
      <c r="K10" s="202">
        <v>0</v>
      </c>
      <c r="L10" s="202">
        <v>0</v>
      </c>
      <c r="M10" s="202">
        <v>0</v>
      </c>
      <c r="N10" s="202">
        <v>0</v>
      </c>
      <c r="O10" s="202">
        <v>6750</v>
      </c>
      <c r="P10" s="202">
        <v>0</v>
      </c>
      <c r="Q10" s="202">
        <v>0</v>
      </c>
      <c r="R10" s="202">
        <v>0</v>
      </c>
      <c r="S10" s="202">
        <v>26010</v>
      </c>
      <c r="Y10" s="8" t="s">
        <v>5</v>
      </c>
      <c r="Z10" s="219">
        <f t="shared" si="3"/>
        <v>1.2621614903709352E-2</v>
      </c>
    </row>
    <row r="11" spans="1:27" x14ac:dyDescent="0.25">
      <c r="A11" s="728" t="s">
        <v>7</v>
      </c>
      <c r="B11" s="8" t="s">
        <v>19</v>
      </c>
      <c r="C11" s="199">
        <f t="shared" si="2"/>
        <v>32160</v>
      </c>
      <c r="D11" s="202">
        <f>(E4-D4)*30</f>
        <v>420</v>
      </c>
      <c r="E11" s="202">
        <f>(E4-D4)*30</f>
        <v>420</v>
      </c>
      <c r="F11" s="202">
        <f>(F4-G4)*30</f>
        <v>-300</v>
      </c>
      <c r="G11" s="202">
        <f>(G4-H4)*30</f>
        <v>-420</v>
      </c>
      <c r="H11" s="202">
        <f>(I4-H4)*30</f>
        <v>540</v>
      </c>
      <c r="I11" s="202">
        <f>(J4-I4)*30</f>
        <v>540</v>
      </c>
      <c r="J11" s="202">
        <f t="shared" ref="J11:Q11" si="4">(K4-J4)*30</f>
        <v>540</v>
      </c>
      <c r="K11" s="202">
        <f t="shared" si="4"/>
        <v>420</v>
      </c>
      <c r="L11" s="202">
        <f t="shared" si="4"/>
        <v>540</v>
      </c>
      <c r="M11" s="202">
        <f t="shared" si="4"/>
        <v>480</v>
      </c>
      <c r="N11" s="202">
        <f t="shared" si="4"/>
        <v>480</v>
      </c>
      <c r="O11" s="202">
        <f t="shared" si="4"/>
        <v>480</v>
      </c>
      <c r="P11" s="202">
        <f t="shared" si="4"/>
        <v>480</v>
      </c>
      <c r="Q11" s="202">
        <f t="shared" si="4"/>
        <v>480</v>
      </c>
      <c r="R11" s="202">
        <v>480</v>
      </c>
      <c r="S11" s="202">
        <f>2370+23670+270+270</f>
        <v>26580</v>
      </c>
      <c r="Y11" s="8" t="s">
        <v>19</v>
      </c>
      <c r="Z11" s="219">
        <f t="shared" si="3"/>
        <v>3.9632018678314078E-3</v>
      </c>
    </row>
    <row r="12" spans="1:27" x14ac:dyDescent="0.25">
      <c r="A12" s="729"/>
      <c r="B12" s="8" t="s">
        <v>51</v>
      </c>
      <c r="C12" s="199">
        <f t="shared" si="2"/>
        <v>55000</v>
      </c>
      <c r="D12" s="202">
        <v>0</v>
      </c>
      <c r="E12" s="202">
        <v>0</v>
      </c>
      <c r="F12" s="202">
        <v>0</v>
      </c>
      <c r="G12" s="202">
        <v>0</v>
      </c>
      <c r="H12" s="202">
        <v>0</v>
      </c>
      <c r="I12" s="202">
        <v>0</v>
      </c>
      <c r="J12" s="202">
        <v>0</v>
      </c>
      <c r="K12" s="202">
        <v>0</v>
      </c>
      <c r="L12" s="202">
        <v>0</v>
      </c>
      <c r="M12" s="202">
        <v>0</v>
      </c>
      <c r="N12" s="202">
        <v>0</v>
      </c>
      <c r="O12" s="202">
        <v>0</v>
      </c>
      <c r="P12" s="202">
        <v>0</v>
      </c>
      <c r="Q12" s="202">
        <v>0</v>
      </c>
      <c r="R12" s="202">
        <v>0</v>
      </c>
      <c r="S12" s="202">
        <v>55000</v>
      </c>
      <c r="Y12" s="8" t="s">
        <v>51</v>
      </c>
      <c r="Z12" s="219">
        <f t="shared" si="3"/>
        <v>6.7778638908808277E-3</v>
      </c>
    </row>
    <row r="13" spans="1:27" s="21" customFormat="1" ht="21" x14ac:dyDescent="0.45">
      <c r="A13" s="19" t="s">
        <v>14</v>
      </c>
      <c r="B13" s="20"/>
      <c r="C13" s="217">
        <f t="shared" si="2"/>
        <v>8114651</v>
      </c>
      <c r="D13" s="330">
        <f t="shared" ref="D13:I13" si="5">SUM(D6:D12)</f>
        <v>40703</v>
      </c>
      <c r="E13" s="330">
        <f t="shared" si="5"/>
        <v>1259834</v>
      </c>
      <c r="F13" s="330">
        <f t="shared" si="5"/>
        <v>562280</v>
      </c>
      <c r="G13" s="330">
        <f>G12+G11+G10+G9+G8+G7+G6</f>
        <v>689393</v>
      </c>
      <c r="H13" s="330">
        <f t="shared" si="5"/>
        <v>148500</v>
      </c>
      <c r="I13" s="330">
        <f t="shared" si="5"/>
        <v>168789</v>
      </c>
      <c r="J13" s="330">
        <f t="shared" ref="J13:S13" si="6">SUM(J6:J12)</f>
        <v>121751</v>
      </c>
      <c r="K13" s="330">
        <f t="shared" si="6"/>
        <v>970963</v>
      </c>
      <c r="L13" s="330">
        <f t="shared" si="6"/>
        <v>52932</v>
      </c>
      <c r="M13" s="330">
        <f t="shared" si="6"/>
        <v>204702</v>
      </c>
      <c r="N13" s="330">
        <f t="shared" si="6"/>
        <v>966471</v>
      </c>
      <c r="O13" s="330">
        <f t="shared" si="6"/>
        <v>293323</v>
      </c>
      <c r="P13" s="330">
        <f t="shared" si="6"/>
        <v>52145</v>
      </c>
      <c r="Q13" s="330">
        <f t="shared" si="6"/>
        <v>504920</v>
      </c>
      <c r="R13" s="330">
        <f t="shared" si="6"/>
        <v>970476</v>
      </c>
      <c r="S13" s="330">
        <f t="shared" si="6"/>
        <v>1107469</v>
      </c>
      <c r="Z13" s="222">
        <f>SUM(Z6:Z12)</f>
        <v>1</v>
      </c>
    </row>
    <row r="14" spans="1:27" x14ac:dyDescent="0.25">
      <c r="A14" s="22" t="s">
        <v>1</v>
      </c>
      <c r="B14" s="23" t="str">
        <f>A14</f>
        <v>Sueldos</v>
      </c>
      <c r="C14" s="206">
        <f t="shared" si="2"/>
        <v>423734</v>
      </c>
      <c r="D14" s="207">
        <v>23754</v>
      </c>
      <c r="E14" s="207">
        <v>25218</v>
      </c>
      <c r="F14" s="207">
        <v>23498</v>
      </c>
      <c r="G14" s="207">
        <v>23172</v>
      </c>
      <c r="H14" s="207">
        <v>24252</v>
      </c>
      <c r="I14" s="207">
        <v>25798</v>
      </c>
      <c r="J14" s="207">
        <v>25748</v>
      </c>
      <c r="K14" s="207">
        <v>27420</v>
      </c>
      <c r="L14" s="207">
        <v>25696</v>
      </c>
      <c r="M14" s="207">
        <v>25540</v>
      </c>
      <c r="N14" s="207">
        <f t="shared" ref="J14:S15" si="7">M14</f>
        <v>25540</v>
      </c>
      <c r="O14" s="207">
        <v>25444</v>
      </c>
      <c r="P14" s="207">
        <v>27792</v>
      </c>
      <c r="Q14" s="207">
        <v>29060</v>
      </c>
      <c r="R14" s="207">
        <v>30256</v>
      </c>
      <c r="S14" s="207">
        <v>35546</v>
      </c>
    </row>
    <row r="15" spans="1:27" x14ac:dyDescent="0.25">
      <c r="A15" s="22" t="s">
        <v>29</v>
      </c>
      <c r="B15" s="23" t="str">
        <f>A15</f>
        <v xml:space="preserve">Mantenimiento </v>
      </c>
      <c r="C15" s="206">
        <f t="shared" si="2"/>
        <v>155697</v>
      </c>
      <c r="D15" s="207">
        <v>7776</v>
      </c>
      <c r="E15" s="207">
        <v>7775</v>
      </c>
      <c r="F15" s="207">
        <f>E15</f>
        <v>7775</v>
      </c>
      <c r="G15" s="207">
        <f>F15</f>
        <v>7775</v>
      </c>
      <c r="H15" s="207">
        <v>10383</v>
      </c>
      <c r="I15" s="207">
        <f>H15</f>
        <v>10383</v>
      </c>
      <c r="J15" s="207">
        <f t="shared" si="7"/>
        <v>10383</v>
      </c>
      <c r="K15" s="207">
        <f t="shared" si="7"/>
        <v>10383</v>
      </c>
      <c r="L15" s="207">
        <f t="shared" si="7"/>
        <v>10383</v>
      </c>
      <c r="M15" s="207">
        <f t="shared" si="7"/>
        <v>10383</v>
      </c>
      <c r="N15" s="207">
        <f t="shared" si="7"/>
        <v>10383</v>
      </c>
      <c r="O15" s="207">
        <f t="shared" si="7"/>
        <v>10383</v>
      </c>
      <c r="P15" s="207">
        <f t="shared" si="7"/>
        <v>10383</v>
      </c>
      <c r="Q15" s="207">
        <f t="shared" si="7"/>
        <v>10383</v>
      </c>
      <c r="R15" s="207">
        <f t="shared" si="7"/>
        <v>10383</v>
      </c>
      <c r="S15" s="207">
        <f t="shared" si="7"/>
        <v>10383</v>
      </c>
    </row>
    <row r="16" spans="1:27" x14ac:dyDescent="0.25">
      <c r="A16" s="22" t="s">
        <v>4</v>
      </c>
      <c r="B16" s="23" t="s">
        <v>30</v>
      </c>
      <c r="C16" s="206">
        <f t="shared" si="2"/>
        <v>360170</v>
      </c>
      <c r="D16" s="207">
        <v>0</v>
      </c>
      <c r="E16" s="207">
        <v>264700</v>
      </c>
      <c r="F16" s="207">
        <v>0</v>
      </c>
      <c r="G16" s="207">
        <v>0</v>
      </c>
      <c r="H16" s="207">
        <v>0</v>
      </c>
      <c r="I16" s="207">
        <v>0</v>
      </c>
      <c r="J16" s="207">
        <v>0</v>
      </c>
      <c r="K16" s="207">
        <v>0</v>
      </c>
      <c r="L16" s="207">
        <v>0</v>
      </c>
      <c r="M16" s="207">
        <v>0</v>
      </c>
      <c r="N16" s="207">
        <v>0</v>
      </c>
      <c r="O16" s="207">
        <v>0</v>
      </c>
      <c r="P16" s="207">
        <v>0</v>
      </c>
      <c r="Q16" s="207">
        <v>0</v>
      </c>
      <c r="R16" s="207">
        <v>95470</v>
      </c>
      <c r="S16" s="207">
        <v>0</v>
      </c>
    </row>
    <row r="17" spans="1:26" x14ac:dyDescent="0.25">
      <c r="A17" s="22" t="s">
        <v>6</v>
      </c>
      <c r="B17" s="23" t="str">
        <f>A17</f>
        <v>Empleados</v>
      </c>
      <c r="C17" s="206">
        <f t="shared" si="2"/>
        <v>437400</v>
      </c>
      <c r="D17" s="207">
        <v>28800</v>
      </c>
      <c r="E17" s="207">
        <f>D17</f>
        <v>28800</v>
      </c>
      <c r="F17" s="207">
        <f t="shared" ref="F17:S17" si="8">E17</f>
        <v>28800</v>
      </c>
      <c r="G17" s="207">
        <f t="shared" si="8"/>
        <v>28800</v>
      </c>
      <c r="H17" s="207">
        <f t="shared" si="8"/>
        <v>28800</v>
      </c>
      <c r="I17" s="207">
        <f t="shared" si="8"/>
        <v>28800</v>
      </c>
      <c r="J17" s="207">
        <f t="shared" si="8"/>
        <v>28800</v>
      </c>
      <c r="K17" s="207">
        <f t="shared" si="8"/>
        <v>28800</v>
      </c>
      <c r="L17" s="207">
        <f t="shared" si="8"/>
        <v>28800</v>
      </c>
      <c r="M17" s="207">
        <v>27000</v>
      </c>
      <c r="N17" s="207">
        <v>25200</v>
      </c>
      <c r="O17" s="207">
        <f t="shared" si="8"/>
        <v>25200</v>
      </c>
      <c r="P17" s="207">
        <f t="shared" si="8"/>
        <v>25200</v>
      </c>
      <c r="Q17" s="207">
        <f t="shared" si="8"/>
        <v>25200</v>
      </c>
      <c r="R17" s="207">
        <f t="shared" si="8"/>
        <v>25200</v>
      </c>
      <c r="S17" s="207">
        <f t="shared" si="8"/>
        <v>25200</v>
      </c>
    </row>
    <row r="18" spans="1:26" x14ac:dyDescent="0.25">
      <c r="A18" s="22" t="s">
        <v>8</v>
      </c>
      <c r="B18" s="23" t="str">
        <f>A18</f>
        <v>Juveniles</v>
      </c>
      <c r="C18" s="206">
        <f t="shared" si="2"/>
        <v>280000</v>
      </c>
      <c r="D18" s="207">
        <v>15000</v>
      </c>
      <c r="E18" s="207">
        <f>D18</f>
        <v>15000</v>
      </c>
      <c r="F18" s="207">
        <f t="shared" ref="F18:R18" si="9">E18</f>
        <v>15000</v>
      </c>
      <c r="G18" s="207">
        <f t="shared" si="9"/>
        <v>15000</v>
      </c>
      <c r="H18" s="207">
        <f t="shared" si="9"/>
        <v>15000</v>
      </c>
      <c r="I18" s="207">
        <f t="shared" si="9"/>
        <v>15000</v>
      </c>
      <c r="J18" s="207">
        <f t="shared" si="9"/>
        <v>15000</v>
      </c>
      <c r="K18" s="207">
        <v>15000</v>
      </c>
      <c r="L18" s="207">
        <v>20000</v>
      </c>
      <c r="M18" s="207">
        <f t="shared" si="9"/>
        <v>20000</v>
      </c>
      <c r="N18" s="207">
        <f t="shared" si="9"/>
        <v>20000</v>
      </c>
      <c r="O18" s="207">
        <f t="shared" si="9"/>
        <v>20000</v>
      </c>
      <c r="P18" s="207">
        <f t="shared" si="9"/>
        <v>20000</v>
      </c>
      <c r="Q18" s="207">
        <f t="shared" si="9"/>
        <v>20000</v>
      </c>
      <c r="R18" s="207">
        <f t="shared" si="9"/>
        <v>20000</v>
      </c>
      <c r="S18" s="207">
        <v>20000</v>
      </c>
    </row>
    <row r="19" spans="1:26" x14ac:dyDescent="0.25">
      <c r="A19" s="22" t="s">
        <v>9</v>
      </c>
      <c r="B19" s="23" t="s">
        <v>50</v>
      </c>
      <c r="C19" s="206">
        <f t="shared" si="2"/>
        <v>5162177</v>
      </c>
      <c r="D19" s="207">
        <v>0</v>
      </c>
      <c r="E19" s="207">
        <f>682659</f>
        <v>682659</v>
      </c>
      <c r="F19" s="207">
        <f>100000+77090+85481</f>
        <v>262571</v>
      </c>
      <c r="G19" s="207">
        <v>653144</v>
      </c>
      <c r="H19" s="207">
        <v>63652</v>
      </c>
      <c r="I19" s="207">
        <v>0</v>
      </c>
      <c r="J19" s="207">
        <v>263004</v>
      </c>
      <c r="K19" s="207">
        <f>332516-1</f>
        <v>332515</v>
      </c>
      <c r="L19" s="207">
        <v>327117</v>
      </c>
      <c r="M19" s="207">
        <v>0</v>
      </c>
      <c r="N19" s="207">
        <v>902424</v>
      </c>
      <c r="O19" s="207">
        <v>254701</v>
      </c>
      <c r="P19" s="207">
        <v>61250</v>
      </c>
      <c r="Q19" s="207">
        <v>312588</v>
      </c>
      <c r="R19" s="207">
        <v>544644</v>
      </c>
      <c r="S19" s="207">
        <v>501908</v>
      </c>
    </row>
    <row r="20" spans="1:26" x14ac:dyDescent="0.25">
      <c r="A20" s="24" t="s">
        <v>7</v>
      </c>
      <c r="B20" s="23" t="s">
        <v>11</v>
      </c>
      <c r="C20" s="206">
        <f t="shared" si="2"/>
        <v>368800</v>
      </c>
      <c r="D20" s="207">
        <v>0</v>
      </c>
      <c r="E20" s="207">
        <v>0</v>
      </c>
      <c r="F20" s="207">
        <v>0</v>
      </c>
      <c r="G20" s="207">
        <v>0</v>
      </c>
      <c r="H20" s="207">
        <v>0</v>
      </c>
      <c r="I20" s="207">
        <v>0</v>
      </c>
      <c r="J20" s="207">
        <v>0</v>
      </c>
      <c r="K20" s="207">
        <v>368800</v>
      </c>
      <c r="L20" s="207">
        <v>0</v>
      </c>
      <c r="M20" s="207">
        <v>0</v>
      </c>
      <c r="N20" s="207">
        <v>0</v>
      </c>
      <c r="O20" s="207">
        <v>0</v>
      </c>
      <c r="P20" s="207">
        <v>0</v>
      </c>
      <c r="Q20" s="207">
        <v>0</v>
      </c>
      <c r="R20" s="207">
        <v>0</v>
      </c>
      <c r="S20" s="207">
        <v>0</v>
      </c>
    </row>
    <row r="21" spans="1:26" x14ac:dyDescent="0.25">
      <c r="A21" s="24"/>
      <c r="B21" s="23" t="s">
        <v>818</v>
      </c>
      <c r="C21" s="206">
        <f t="shared" si="2"/>
        <v>97197</v>
      </c>
      <c r="D21" s="208">
        <v>1000</v>
      </c>
      <c r="E21" s="208">
        <v>11000</v>
      </c>
      <c r="F21" s="208">
        <v>5000</v>
      </c>
      <c r="G21" s="208">
        <v>13000</v>
      </c>
      <c r="H21" s="208">
        <f>2000+2999</f>
        <v>4999</v>
      </c>
      <c r="I21" s="208">
        <v>2999</v>
      </c>
      <c r="J21" s="208">
        <v>11000</v>
      </c>
      <c r="K21" s="208">
        <v>3000</v>
      </c>
      <c r="L21" s="208">
        <v>7400</v>
      </c>
      <c r="M21" s="208">
        <v>12800</v>
      </c>
      <c r="N21" s="208">
        <v>4999</v>
      </c>
      <c r="O21" s="208">
        <v>3000</v>
      </c>
      <c r="P21" s="208">
        <v>3000</v>
      </c>
      <c r="Q21" s="208">
        <v>4000</v>
      </c>
      <c r="R21" s="208">
        <v>10000</v>
      </c>
      <c r="S21" s="208">
        <v>0</v>
      </c>
    </row>
    <row r="22" spans="1:26" x14ac:dyDescent="0.25">
      <c r="A22" s="22" t="s">
        <v>10</v>
      </c>
      <c r="B22" s="23" t="str">
        <f>A22</f>
        <v>Intereses</v>
      </c>
      <c r="C22" s="206">
        <f t="shared" si="2"/>
        <v>0</v>
      </c>
      <c r="D22" s="207">
        <f>IF(D5&lt;0,D5*0.05,0)</f>
        <v>0</v>
      </c>
      <c r="E22" s="207">
        <f>IF(E5&lt;0,E5*0.05,0)</f>
        <v>0</v>
      </c>
      <c r="F22" s="207">
        <f>IF(F5&lt;0,F5*-0.05,0)</f>
        <v>0</v>
      </c>
      <c r="G22" s="207">
        <f t="shared" ref="G22:S22" si="10">IF(G5&lt;0,G5*-0.05,0)</f>
        <v>0</v>
      </c>
      <c r="H22" s="207">
        <f t="shared" si="10"/>
        <v>0</v>
      </c>
      <c r="I22" s="207">
        <f t="shared" si="10"/>
        <v>0</v>
      </c>
      <c r="J22" s="207">
        <f t="shared" si="10"/>
        <v>0</v>
      </c>
      <c r="K22" s="207">
        <f t="shared" si="10"/>
        <v>0</v>
      </c>
      <c r="L22" s="207">
        <f t="shared" si="10"/>
        <v>0</v>
      </c>
      <c r="M22" s="207">
        <f t="shared" si="10"/>
        <v>0</v>
      </c>
      <c r="N22" s="207">
        <f t="shared" si="10"/>
        <v>0</v>
      </c>
      <c r="O22" s="207">
        <f t="shared" si="10"/>
        <v>0</v>
      </c>
      <c r="P22" s="207">
        <f t="shared" si="10"/>
        <v>0</v>
      </c>
      <c r="Q22" s="207">
        <f t="shared" si="10"/>
        <v>0</v>
      </c>
      <c r="R22" s="207">
        <f t="shared" si="10"/>
        <v>0</v>
      </c>
      <c r="S22" s="207">
        <f t="shared" si="10"/>
        <v>0</v>
      </c>
    </row>
    <row r="23" spans="1:26" s="31" customFormat="1" ht="21" x14ac:dyDescent="0.45">
      <c r="A23" s="25" t="s">
        <v>15</v>
      </c>
      <c r="B23" s="26"/>
      <c r="C23" s="218">
        <f t="shared" si="2"/>
        <v>7285175</v>
      </c>
      <c r="D23" s="331">
        <f t="shared" ref="D23:I23" si="11">SUM(D14:D22)</f>
        <v>76330</v>
      </c>
      <c r="E23" s="331">
        <f t="shared" si="11"/>
        <v>1035152</v>
      </c>
      <c r="F23" s="331">
        <f t="shared" si="11"/>
        <v>342644</v>
      </c>
      <c r="G23" s="331">
        <f t="shared" si="11"/>
        <v>740891</v>
      </c>
      <c r="H23" s="331">
        <f t="shared" si="11"/>
        <v>147086</v>
      </c>
      <c r="I23" s="331">
        <f t="shared" si="11"/>
        <v>82980</v>
      </c>
      <c r="J23" s="331">
        <f t="shared" ref="J23:S23" si="12">SUM(J14:J22)</f>
        <v>353935</v>
      </c>
      <c r="K23" s="331">
        <f t="shared" si="12"/>
        <v>785918</v>
      </c>
      <c r="L23" s="331">
        <f t="shared" si="12"/>
        <v>419396</v>
      </c>
      <c r="M23" s="331">
        <f t="shared" si="12"/>
        <v>95723</v>
      </c>
      <c r="N23" s="331">
        <f t="shared" si="12"/>
        <v>988546</v>
      </c>
      <c r="O23" s="331">
        <f t="shared" si="12"/>
        <v>338728</v>
      </c>
      <c r="P23" s="331">
        <f t="shared" si="12"/>
        <v>147625</v>
      </c>
      <c r="Q23" s="331">
        <f t="shared" si="12"/>
        <v>401231</v>
      </c>
      <c r="R23" s="331">
        <f t="shared" si="12"/>
        <v>735953</v>
      </c>
      <c r="S23" s="331">
        <f t="shared" si="12"/>
        <v>593037</v>
      </c>
      <c r="Y23" s="23" t="s">
        <v>1</v>
      </c>
      <c r="Z23" s="220">
        <f>C14/$C$23</f>
        <v>5.8163873894587298E-2</v>
      </c>
    </row>
    <row r="24" spans="1:26" s="7" customFormat="1" ht="18.75" x14ac:dyDescent="0.3">
      <c r="A24" s="9" t="s">
        <v>20</v>
      </c>
      <c r="B24" s="9"/>
      <c r="C24" s="197">
        <f>C5+C13-C23</f>
        <v>894221</v>
      </c>
      <c r="D24" s="197">
        <f t="shared" ref="D24:I24" si="13">D5+D13-D23</f>
        <v>29118</v>
      </c>
      <c r="E24" s="197">
        <f t="shared" si="13"/>
        <v>253800</v>
      </c>
      <c r="F24" s="197">
        <f t="shared" si="13"/>
        <v>473436</v>
      </c>
      <c r="G24" s="197">
        <f t="shared" si="13"/>
        <v>421938</v>
      </c>
      <c r="H24" s="197">
        <f t="shared" si="13"/>
        <v>423352</v>
      </c>
      <c r="I24" s="197">
        <f t="shared" si="13"/>
        <v>509161</v>
      </c>
      <c r="J24" s="197">
        <f t="shared" ref="J24:S24" si="14">J5+J13-J23</f>
        <v>276977</v>
      </c>
      <c r="K24" s="197">
        <f t="shared" si="14"/>
        <v>462022</v>
      </c>
      <c r="L24" s="197">
        <f t="shared" si="14"/>
        <v>95558</v>
      </c>
      <c r="M24" s="197">
        <f t="shared" si="14"/>
        <v>204537</v>
      </c>
      <c r="N24" s="197">
        <f t="shared" si="14"/>
        <v>182462</v>
      </c>
      <c r="O24" s="197">
        <f t="shared" si="14"/>
        <v>137057</v>
      </c>
      <c r="P24" s="197">
        <f t="shared" si="14"/>
        <v>41577</v>
      </c>
      <c r="Q24" s="197">
        <f t="shared" si="14"/>
        <v>145266</v>
      </c>
      <c r="R24" s="197">
        <f t="shared" si="14"/>
        <v>379789</v>
      </c>
      <c r="S24" s="197">
        <f t="shared" si="14"/>
        <v>894221</v>
      </c>
      <c r="Y24" s="23" t="s">
        <v>29</v>
      </c>
      <c r="Z24" s="220">
        <f t="shared" ref="Z24:Z31" si="15">C15/$C$23</f>
        <v>2.1371758399763904E-2</v>
      </c>
    </row>
    <row r="25" spans="1:26" s="178" customFormat="1" x14ac:dyDescent="0.25">
      <c r="A25" s="182"/>
      <c r="B25" s="182"/>
      <c r="C25" s="182"/>
      <c r="D25" s="183">
        <f>D2+6</f>
        <v>40963</v>
      </c>
      <c r="E25" s="184">
        <f>D25+7</f>
        <v>40970</v>
      </c>
      <c r="F25" s="184">
        <f t="shared" ref="F25:S25" si="16">E25+7</f>
        <v>40977</v>
      </c>
      <c r="G25" s="184">
        <f t="shared" si="16"/>
        <v>40984</v>
      </c>
      <c r="H25" s="184">
        <f t="shared" si="16"/>
        <v>40991</v>
      </c>
      <c r="I25" s="184">
        <f t="shared" si="16"/>
        <v>40998</v>
      </c>
      <c r="J25" s="184">
        <f t="shared" si="16"/>
        <v>41005</v>
      </c>
      <c r="K25" s="184">
        <f t="shared" si="16"/>
        <v>41012</v>
      </c>
      <c r="L25" s="184">
        <f t="shared" si="16"/>
        <v>41019</v>
      </c>
      <c r="M25" s="184">
        <f t="shared" si="16"/>
        <v>41026</v>
      </c>
      <c r="N25" s="184">
        <f t="shared" si="16"/>
        <v>41033</v>
      </c>
      <c r="O25" s="184">
        <f t="shared" si="16"/>
        <v>41040</v>
      </c>
      <c r="P25" s="184">
        <f t="shared" si="16"/>
        <v>41047</v>
      </c>
      <c r="Q25" s="184">
        <f t="shared" si="16"/>
        <v>41054</v>
      </c>
      <c r="R25" s="184">
        <f t="shared" si="16"/>
        <v>41061</v>
      </c>
      <c r="S25" s="184">
        <f t="shared" si="16"/>
        <v>41068</v>
      </c>
      <c r="Y25" s="23" t="s">
        <v>30</v>
      </c>
      <c r="Z25" s="220">
        <f t="shared" si="15"/>
        <v>4.943875747665636E-2</v>
      </c>
    </row>
    <row r="26" spans="1:26" s="178" customFormat="1" ht="18.95" customHeight="1" x14ac:dyDescent="0.25">
      <c r="A26" s="732" t="s">
        <v>942</v>
      </c>
      <c r="B26" s="732"/>
      <c r="C26" s="223">
        <f>C6+C7+C11</f>
        <v>1652533</v>
      </c>
      <c r="D26" s="223">
        <f t="shared" ref="D26:S26" si="17">D6+D7+D11</f>
        <v>40703</v>
      </c>
      <c r="E26" s="223">
        <f t="shared" si="17"/>
        <v>48123</v>
      </c>
      <c r="F26" s="223">
        <f t="shared" si="17"/>
        <v>127095</v>
      </c>
      <c r="G26" s="223">
        <f t="shared" si="17"/>
        <v>116244</v>
      </c>
      <c r="H26" s="223">
        <f t="shared" si="17"/>
        <v>48775</v>
      </c>
      <c r="I26" s="223">
        <f t="shared" si="17"/>
        <v>168789</v>
      </c>
      <c r="J26" s="223">
        <f t="shared" si="17"/>
        <v>55106</v>
      </c>
      <c r="K26" s="223">
        <f t="shared" si="17"/>
        <v>171697</v>
      </c>
      <c r="L26" s="223">
        <f t="shared" si="17"/>
        <v>51072</v>
      </c>
      <c r="M26" s="223">
        <f t="shared" si="17"/>
        <v>204702</v>
      </c>
      <c r="N26" s="223">
        <f t="shared" si="17"/>
        <v>52038</v>
      </c>
      <c r="O26" s="223">
        <f t="shared" si="17"/>
        <v>176899</v>
      </c>
      <c r="P26" s="223">
        <f t="shared" si="17"/>
        <v>52145</v>
      </c>
      <c r="Q26" s="223">
        <f t="shared" si="17"/>
        <v>53870</v>
      </c>
      <c r="R26" s="223">
        <f t="shared" si="17"/>
        <v>205556</v>
      </c>
      <c r="S26" s="223">
        <f t="shared" si="17"/>
        <v>79719</v>
      </c>
      <c r="T26" s="194"/>
      <c r="Y26" s="23" t="s">
        <v>6</v>
      </c>
      <c r="Z26" s="220">
        <f t="shared" si="15"/>
        <v>6.003973823552626E-2</v>
      </c>
    </row>
    <row r="27" spans="1:26" s="178" customFormat="1" ht="18.95" customHeight="1" x14ac:dyDescent="0.25">
      <c r="A27" s="733" t="s">
        <v>943</v>
      </c>
      <c r="B27" s="733"/>
      <c r="C27" s="224">
        <f>C14+C15+C17+C18</f>
        <v>1296831</v>
      </c>
      <c r="D27" s="224">
        <f t="shared" ref="D27:S27" si="18">D14+D15+D17+D18</f>
        <v>75330</v>
      </c>
      <c r="E27" s="224">
        <f t="shared" si="18"/>
        <v>76793</v>
      </c>
      <c r="F27" s="224">
        <f t="shared" si="18"/>
        <v>75073</v>
      </c>
      <c r="G27" s="224">
        <f t="shared" si="18"/>
        <v>74747</v>
      </c>
      <c r="H27" s="224">
        <f t="shared" si="18"/>
        <v>78435</v>
      </c>
      <c r="I27" s="224">
        <f t="shared" si="18"/>
        <v>79981</v>
      </c>
      <c r="J27" s="224">
        <f t="shared" si="18"/>
        <v>79931</v>
      </c>
      <c r="K27" s="224">
        <f t="shared" si="18"/>
        <v>81603</v>
      </c>
      <c r="L27" s="224">
        <f t="shared" si="18"/>
        <v>84879</v>
      </c>
      <c r="M27" s="224">
        <f t="shared" si="18"/>
        <v>82923</v>
      </c>
      <c r="N27" s="224">
        <f t="shared" si="18"/>
        <v>81123</v>
      </c>
      <c r="O27" s="224">
        <f t="shared" si="18"/>
        <v>81027</v>
      </c>
      <c r="P27" s="224">
        <f t="shared" si="18"/>
        <v>83375</v>
      </c>
      <c r="Q27" s="224">
        <f t="shared" si="18"/>
        <v>84643</v>
      </c>
      <c r="R27" s="224">
        <f t="shared" si="18"/>
        <v>85839</v>
      </c>
      <c r="S27" s="224">
        <f t="shared" si="18"/>
        <v>91129</v>
      </c>
      <c r="T27" s="195"/>
      <c r="Y27" s="23" t="s">
        <v>8</v>
      </c>
      <c r="Z27" s="220">
        <f t="shared" si="15"/>
        <v>3.8434217434721883E-2</v>
      </c>
    </row>
    <row r="28" spans="1:26" ht="18.95" customHeight="1" x14ac:dyDescent="0.25">
      <c r="A28" s="734" t="s">
        <v>944</v>
      </c>
      <c r="B28" s="734"/>
      <c r="C28" s="212">
        <f>C26-C27</f>
        <v>355702</v>
      </c>
      <c r="D28" s="212">
        <f t="shared" ref="D28:S28" si="19">D26-D27</f>
        <v>-34627</v>
      </c>
      <c r="E28" s="212">
        <f t="shared" si="19"/>
        <v>-28670</v>
      </c>
      <c r="F28" s="212">
        <f t="shared" si="19"/>
        <v>52022</v>
      </c>
      <c r="G28" s="212">
        <f t="shared" si="19"/>
        <v>41497</v>
      </c>
      <c r="H28" s="212">
        <f t="shared" si="19"/>
        <v>-29660</v>
      </c>
      <c r="I28" s="212">
        <f t="shared" si="19"/>
        <v>88808</v>
      </c>
      <c r="J28" s="212">
        <f t="shared" si="19"/>
        <v>-24825</v>
      </c>
      <c r="K28" s="212">
        <f t="shared" si="19"/>
        <v>90094</v>
      </c>
      <c r="L28" s="212">
        <f t="shared" si="19"/>
        <v>-33807</v>
      </c>
      <c r="M28" s="212">
        <f t="shared" si="19"/>
        <v>121779</v>
      </c>
      <c r="N28" s="212">
        <f t="shared" si="19"/>
        <v>-29085</v>
      </c>
      <c r="O28" s="212">
        <f t="shared" si="19"/>
        <v>95872</v>
      </c>
      <c r="P28" s="212">
        <f t="shared" si="19"/>
        <v>-31230</v>
      </c>
      <c r="Q28" s="212">
        <f t="shared" si="19"/>
        <v>-30773</v>
      </c>
      <c r="R28" s="212">
        <f t="shared" si="19"/>
        <v>119717</v>
      </c>
      <c r="S28" s="212">
        <f t="shared" si="19"/>
        <v>-11410</v>
      </c>
      <c r="T28" s="192"/>
      <c r="Y28" s="23" t="s">
        <v>50</v>
      </c>
      <c r="Z28" s="220">
        <f t="shared" si="15"/>
        <v>0.70858654733757254</v>
      </c>
    </row>
    <row r="29" spans="1:26" ht="18.95" customHeight="1" x14ac:dyDescent="0.25">
      <c r="A29" s="732" t="s">
        <v>945</v>
      </c>
      <c r="B29" s="732"/>
      <c r="C29" s="223">
        <f>C8+C9+C10+C12</f>
        <v>6462118</v>
      </c>
      <c r="D29" s="223">
        <f t="shared" ref="D29:S29" si="20">D8+D9+D10+D12</f>
        <v>0</v>
      </c>
      <c r="E29" s="223">
        <f t="shared" si="20"/>
        <v>1211711</v>
      </c>
      <c r="F29" s="223">
        <f t="shared" si="20"/>
        <v>435185</v>
      </c>
      <c r="G29" s="223">
        <f t="shared" si="20"/>
        <v>573149</v>
      </c>
      <c r="H29" s="223">
        <f t="shared" si="20"/>
        <v>99725</v>
      </c>
      <c r="I29" s="223">
        <f t="shared" si="20"/>
        <v>0</v>
      </c>
      <c r="J29" s="223">
        <f t="shared" si="20"/>
        <v>66645</v>
      </c>
      <c r="K29" s="223">
        <f t="shared" si="20"/>
        <v>799266</v>
      </c>
      <c r="L29" s="223">
        <f t="shared" si="20"/>
        <v>1860</v>
      </c>
      <c r="M29" s="223">
        <f t="shared" si="20"/>
        <v>0</v>
      </c>
      <c r="N29" s="223">
        <f t="shared" si="20"/>
        <v>914433</v>
      </c>
      <c r="O29" s="223">
        <f t="shared" si="20"/>
        <v>116424</v>
      </c>
      <c r="P29" s="223">
        <f t="shared" si="20"/>
        <v>0</v>
      </c>
      <c r="Q29" s="223">
        <f t="shared" si="20"/>
        <v>451050</v>
      </c>
      <c r="R29" s="223">
        <f t="shared" si="20"/>
        <v>764920</v>
      </c>
      <c r="S29" s="223">
        <f t="shared" si="20"/>
        <v>1027750</v>
      </c>
      <c r="T29" s="192"/>
      <c r="Y29" s="23" t="s">
        <v>11</v>
      </c>
      <c r="Z29" s="220">
        <f t="shared" si="15"/>
        <v>5.0623354964019394E-2</v>
      </c>
    </row>
    <row r="30" spans="1:26" s="6" customFormat="1" x14ac:dyDescent="0.25">
      <c r="A30" s="733" t="s">
        <v>946</v>
      </c>
      <c r="B30" s="733"/>
      <c r="C30" s="224">
        <f>C16+C19+C20+C22+C21</f>
        <v>5988344</v>
      </c>
      <c r="D30" s="224">
        <f t="shared" ref="D30:S30" si="21">D16+D19+D20+D22+D21</f>
        <v>1000</v>
      </c>
      <c r="E30" s="224">
        <f t="shared" si="21"/>
        <v>958359</v>
      </c>
      <c r="F30" s="224">
        <f t="shared" si="21"/>
        <v>267571</v>
      </c>
      <c r="G30" s="224">
        <f t="shared" si="21"/>
        <v>666144</v>
      </c>
      <c r="H30" s="224">
        <f t="shared" si="21"/>
        <v>68651</v>
      </c>
      <c r="I30" s="224">
        <f t="shared" si="21"/>
        <v>2999</v>
      </c>
      <c r="J30" s="224">
        <f t="shared" si="21"/>
        <v>274004</v>
      </c>
      <c r="K30" s="224">
        <f t="shared" si="21"/>
        <v>704315</v>
      </c>
      <c r="L30" s="224">
        <f t="shared" si="21"/>
        <v>334517</v>
      </c>
      <c r="M30" s="224">
        <f t="shared" si="21"/>
        <v>12800</v>
      </c>
      <c r="N30" s="224">
        <f t="shared" si="21"/>
        <v>907423</v>
      </c>
      <c r="O30" s="224">
        <f t="shared" si="21"/>
        <v>257701</v>
      </c>
      <c r="P30" s="224">
        <f t="shared" si="21"/>
        <v>64250</v>
      </c>
      <c r="Q30" s="224">
        <f t="shared" si="21"/>
        <v>316588</v>
      </c>
      <c r="R30" s="224">
        <f t="shared" si="21"/>
        <v>650114</v>
      </c>
      <c r="S30" s="224">
        <f t="shared" si="21"/>
        <v>501908</v>
      </c>
      <c r="Y30" s="23" t="s">
        <v>818</v>
      </c>
      <c r="Z30" s="220">
        <f t="shared" si="15"/>
        <v>1.3341752257152367E-2</v>
      </c>
    </row>
    <row r="31" spans="1:26" s="6" customFormat="1" x14ac:dyDescent="0.25">
      <c r="A31" s="734" t="s">
        <v>947</v>
      </c>
      <c r="B31" s="734"/>
      <c r="C31" s="212">
        <f>C29-C30</f>
        <v>473774</v>
      </c>
      <c r="D31" s="212">
        <f t="shared" ref="D31:S31" si="22">D29-D30</f>
        <v>-1000</v>
      </c>
      <c r="E31" s="212">
        <f t="shared" si="22"/>
        <v>253352</v>
      </c>
      <c r="F31" s="212">
        <f t="shared" si="22"/>
        <v>167614</v>
      </c>
      <c r="G31" s="212">
        <f t="shared" si="22"/>
        <v>-92995</v>
      </c>
      <c r="H31" s="212">
        <f t="shared" si="22"/>
        <v>31074</v>
      </c>
      <c r="I31" s="212">
        <f t="shared" si="22"/>
        <v>-2999</v>
      </c>
      <c r="J31" s="212">
        <f t="shared" si="22"/>
        <v>-207359</v>
      </c>
      <c r="K31" s="212">
        <f t="shared" si="22"/>
        <v>94951</v>
      </c>
      <c r="L31" s="212">
        <f t="shared" si="22"/>
        <v>-332657</v>
      </c>
      <c r="M31" s="212">
        <f t="shared" si="22"/>
        <v>-12800</v>
      </c>
      <c r="N31" s="212">
        <f t="shared" si="22"/>
        <v>7010</v>
      </c>
      <c r="O31" s="212">
        <f t="shared" si="22"/>
        <v>-141277</v>
      </c>
      <c r="P31" s="212">
        <f t="shared" si="22"/>
        <v>-64250</v>
      </c>
      <c r="Q31" s="212">
        <f t="shared" si="22"/>
        <v>134462</v>
      </c>
      <c r="R31" s="212">
        <f t="shared" si="22"/>
        <v>114806</v>
      </c>
      <c r="S31" s="212">
        <f t="shared" si="22"/>
        <v>525842</v>
      </c>
      <c r="Y31" s="23" t="s">
        <v>10</v>
      </c>
      <c r="Z31" s="220">
        <f t="shared" si="15"/>
        <v>0</v>
      </c>
    </row>
    <row r="32" spans="1:26" s="6" customFormat="1" ht="18.75" x14ac:dyDescent="0.3">
      <c r="A32" s="192"/>
      <c r="B32" s="192"/>
      <c r="C32" s="192"/>
      <c r="D32" s="192"/>
      <c r="E32" s="192"/>
      <c r="F32" s="192"/>
      <c r="G32" s="192"/>
      <c r="H32" s="192"/>
      <c r="I32" s="192"/>
      <c r="J32" s="192"/>
      <c r="K32" s="192"/>
      <c r="L32" s="192"/>
      <c r="M32" s="192"/>
      <c r="N32" s="192"/>
      <c r="O32" s="192"/>
      <c r="P32" s="192"/>
      <c r="Q32" s="192"/>
      <c r="R32" s="192"/>
      <c r="S32" s="192"/>
      <c r="Z32" s="221">
        <f>SUM(Z23:Z31)</f>
        <v>1</v>
      </c>
    </row>
    <row r="33" spans="1:19" s="6" customFormat="1" ht="15.75" x14ac:dyDescent="0.25">
      <c r="A33" s="27"/>
      <c r="B33" s="730" t="s">
        <v>821</v>
      </c>
      <c r="C33" s="167" t="s">
        <v>819</v>
      </c>
      <c r="D33" s="166"/>
      <c r="E33" s="166"/>
      <c r="F33" s="168"/>
      <c r="G33" s="168">
        <v>2695000</v>
      </c>
      <c r="H33" s="174"/>
      <c r="I33" s="174"/>
      <c r="J33" s="174"/>
      <c r="K33" s="166"/>
      <c r="L33" s="189">
        <v>3175000</v>
      </c>
      <c r="M33" s="166"/>
      <c r="N33" s="166"/>
      <c r="O33" s="189">
        <v>3185000</v>
      </c>
      <c r="P33" s="189">
        <v>3185000</v>
      </c>
      <c r="Q33" s="166"/>
      <c r="R33" s="166"/>
      <c r="S33" s="166"/>
    </row>
    <row r="34" spans="1:19" ht="15.75" x14ac:dyDescent="0.25">
      <c r="A34" s="27"/>
      <c r="B34" s="730"/>
      <c r="C34" s="167" t="s">
        <v>481</v>
      </c>
      <c r="D34" s="166"/>
      <c r="E34" s="166"/>
      <c r="F34" s="168"/>
      <c r="G34" s="168">
        <v>2336000</v>
      </c>
      <c r="H34" s="174"/>
      <c r="I34" s="174"/>
      <c r="J34" s="174"/>
      <c r="K34" s="166"/>
      <c r="L34" s="189">
        <v>2317000</v>
      </c>
      <c r="M34" s="166"/>
      <c r="N34" s="166"/>
      <c r="O34" s="189">
        <v>2701000</v>
      </c>
      <c r="P34" s="189">
        <v>2701000</v>
      </c>
      <c r="Q34" s="166"/>
      <c r="R34" s="166"/>
      <c r="S34" s="166"/>
    </row>
    <row r="35" spans="1:19" ht="15.75" x14ac:dyDescent="0.25">
      <c r="A35" s="27"/>
      <c r="B35" s="730"/>
      <c r="C35" s="167" t="s">
        <v>822</v>
      </c>
      <c r="D35" s="166"/>
      <c r="E35" s="166"/>
      <c r="F35" s="168"/>
      <c r="G35" s="168">
        <v>87000</v>
      </c>
      <c r="H35" s="174"/>
      <c r="I35" s="174"/>
      <c r="J35" s="174"/>
      <c r="K35" s="166"/>
      <c r="L35" s="189">
        <v>0</v>
      </c>
      <c r="M35" s="166"/>
      <c r="N35" s="166"/>
      <c r="O35" s="189">
        <v>60000</v>
      </c>
      <c r="P35" s="189">
        <f>30001*5</f>
        <v>150005</v>
      </c>
      <c r="Q35" s="166"/>
      <c r="R35" s="166"/>
      <c r="S35" s="166"/>
    </row>
    <row r="36" spans="1:19" ht="15.75" x14ac:dyDescent="0.25">
      <c r="A36" s="27"/>
      <c r="B36" s="730"/>
      <c r="C36" s="169" t="s">
        <v>291</v>
      </c>
      <c r="D36" s="170"/>
      <c r="E36" s="170"/>
      <c r="F36" s="171"/>
      <c r="G36" s="171">
        <v>5118000</v>
      </c>
      <c r="H36" s="175"/>
      <c r="I36" s="175"/>
      <c r="J36" s="175"/>
      <c r="K36" s="170"/>
      <c r="L36" s="190">
        <v>5492000</v>
      </c>
      <c r="M36" s="170"/>
      <c r="N36" s="170"/>
      <c r="O36" s="190">
        <v>5946000</v>
      </c>
      <c r="P36" s="190">
        <f>P35+P34+P33</f>
        <v>6036005</v>
      </c>
      <c r="Q36" s="170"/>
      <c r="R36" s="170"/>
      <c r="S36" s="170"/>
    </row>
    <row r="38" spans="1:19" x14ac:dyDescent="0.25">
      <c r="C38" s="212"/>
    </row>
    <row r="39" spans="1:19" ht="15" customHeight="1" x14ac:dyDescent="0.35">
      <c r="C39" s="192"/>
      <c r="H39" s="3"/>
      <c r="J39"/>
      <c r="K39"/>
    </row>
    <row r="40" spans="1:19" ht="15" customHeight="1" x14ac:dyDescent="0.25">
      <c r="C40" s="192"/>
      <c r="J40"/>
      <c r="K40"/>
    </row>
    <row r="41" spans="1:19" x14ac:dyDescent="0.25">
      <c r="H41" s="185"/>
      <c r="I41" s="185"/>
      <c r="J41"/>
      <c r="K41"/>
    </row>
    <row r="42" spans="1:19" x14ac:dyDescent="0.25">
      <c r="H42" s="185"/>
      <c r="I42" s="18"/>
      <c r="J42"/>
      <c r="K42"/>
    </row>
    <row r="43" spans="1:19" x14ac:dyDescent="0.25">
      <c r="H43" s="731"/>
      <c r="I43" s="731"/>
      <c r="J43" s="731"/>
      <c r="K43" s="731"/>
    </row>
    <row r="44" spans="1:19" x14ac:dyDescent="0.25">
      <c r="H44" s="185"/>
      <c r="I44" s="185"/>
      <c r="J44" s="185"/>
      <c r="K44" s="185"/>
    </row>
    <row r="45" spans="1:19" x14ac:dyDescent="0.25">
      <c r="H45" s="185"/>
      <c r="I45" s="185"/>
      <c r="J45" s="185"/>
      <c r="K45" s="185"/>
    </row>
    <row r="46" spans="1:19" x14ac:dyDescent="0.25">
      <c r="H46" s="185"/>
      <c r="I46" s="185"/>
      <c r="J46" s="185"/>
      <c r="K46" s="185"/>
    </row>
    <row r="47" spans="1:19" x14ac:dyDescent="0.25">
      <c r="H47" s="185"/>
      <c r="I47" s="185"/>
      <c r="J47" s="185"/>
      <c r="K47" s="185"/>
    </row>
    <row r="48" spans="1:19" x14ac:dyDescent="0.25">
      <c r="H48" s="185"/>
      <c r="I48" s="185"/>
      <c r="J48" s="185"/>
      <c r="K48" s="185"/>
    </row>
    <row r="49" spans="8:11" x14ac:dyDescent="0.25">
      <c r="H49" s="185"/>
      <c r="I49" s="185"/>
      <c r="J49" s="185"/>
      <c r="K49" s="185"/>
    </row>
    <row r="50" spans="8:11" x14ac:dyDescent="0.25">
      <c r="H50" s="185"/>
      <c r="I50" s="185"/>
      <c r="J50" s="185"/>
      <c r="K50" s="185"/>
    </row>
    <row r="51" spans="8:11" x14ac:dyDescent="0.25">
      <c r="H51" s="185"/>
      <c r="I51" s="185"/>
      <c r="J51" s="185"/>
      <c r="K51" s="185"/>
    </row>
    <row r="52" spans="8:11" ht="15" customHeight="1" x14ac:dyDescent="0.25">
      <c r="H52" s="727"/>
      <c r="I52" s="727"/>
      <c r="J52" s="727"/>
      <c r="K52" s="727"/>
    </row>
    <row r="53" spans="8:11" x14ac:dyDescent="0.25">
      <c r="H53" s="185"/>
      <c r="I53" s="185"/>
      <c r="J53" s="185"/>
      <c r="K53" s="185"/>
    </row>
    <row r="54" spans="8:11" x14ac:dyDescent="0.25">
      <c r="H54" s="727"/>
      <c r="I54" s="727"/>
      <c r="J54" s="727"/>
      <c r="K54" s="727"/>
    </row>
    <row r="55" spans="8:11" x14ac:dyDescent="0.25">
      <c r="H55" s="727"/>
      <c r="I55" s="727"/>
      <c r="J55" s="727"/>
      <c r="K55" s="4"/>
    </row>
  </sheetData>
  <mergeCells count="13">
    <mergeCell ref="H52:K52"/>
    <mergeCell ref="H54:K54"/>
    <mergeCell ref="H55:J55"/>
    <mergeCell ref="A11:A12"/>
    <mergeCell ref="B33:B36"/>
    <mergeCell ref="H43:I43"/>
    <mergeCell ref="J43:K43"/>
    <mergeCell ref="A26:B26"/>
    <mergeCell ref="A27:B27"/>
    <mergeCell ref="A28:B28"/>
    <mergeCell ref="A29:B29"/>
    <mergeCell ref="A30:B30"/>
    <mergeCell ref="A31:B31"/>
  </mergeCells>
  <pageMargins left="0.7" right="0.7" top="0.75" bottom="0.75" header="0.3" footer="0.3"/>
  <pageSetup paperSize="9" orientation="portrait" horizontalDpi="200" verticalDpi="2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N64"/>
  <sheetViews>
    <sheetView zoomScale="90" zoomScaleNormal="90" workbookViewId="0">
      <selection activeCell="J2" sqref="J2"/>
    </sheetView>
  </sheetViews>
  <sheetFormatPr baseColWidth="10" defaultColWidth="11.42578125" defaultRowHeight="15" x14ac:dyDescent="0.25"/>
  <cols>
    <col min="1" max="1" width="1.85546875" customWidth="1"/>
    <col min="2" max="2" width="15.5703125" bestFit="1" customWidth="1"/>
    <col min="3" max="3" width="18.28515625" style="225" bestFit="1" customWidth="1"/>
    <col min="4" max="4" width="6.28515625" style="225" bestFit="1" customWidth="1"/>
    <col min="5" max="5" width="22.140625" bestFit="1" customWidth="1"/>
    <col min="6" max="6" width="18.28515625" style="225" bestFit="1" customWidth="1"/>
    <col min="7" max="7" width="6.28515625" style="225" bestFit="1" customWidth="1"/>
    <col min="9" max="9" width="4.85546875" bestFit="1" customWidth="1"/>
    <col min="11" max="12" width="13.85546875" bestFit="1" customWidth="1"/>
    <col min="13" max="13" width="11.140625" bestFit="1" customWidth="1"/>
    <col min="14" max="14" width="13.7109375" bestFit="1" customWidth="1"/>
  </cols>
  <sheetData>
    <row r="1" spans="2:14" ht="21" x14ac:dyDescent="0.35">
      <c r="B1" s="735" t="s">
        <v>1024</v>
      </c>
      <c r="C1" s="736"/>
      <c r="D1" s="736"/>
      <c r="E1" s="736"/>
      <c r="F1" s="736"/>
      <c r="G1" s="274"/>
      <c r="I1" s="740" t="s">
        <v>1023</v>
      </c>
      <c r="J1" s="741"/>
      <c r="K1" s="741"/>
      <c r="L1" s="741"/>
      <c r="M1" s="741"/>
      <c r="N1" s="742"/>
    </row>
    <row r="2" spans="2:14" x14ac:dyDescent="0.25">
      <c r="B2" s="743" t="s">
        <v>1025</v>
      </c>
      <c r="C2" s="743"/>
      <c r="D2" s="743"/>
      <c r="E2" s="743"/>
      <c r="F2" s="743"/>
      <c r="G2" s="257"/>
      <c r="I2" s="17" t="s">
        <v>36</v>
      </c>
      <c r="J2" s="261" t="s">
        <v>481</v>
      </c>
      <c r="K2" s="17" t="s">
        <v>50</v>
      </c>
      <c r="L2" s="17" t="s">
        <v>879</v>
      </c>
      <c r="M2" s="17" t="s">
        <v>1002</v>
      </c>
      <c r="N2" s="17" t="s">
        <v>1007</v>
      </c>
    </row>
    <row r="3" spans="2:14" ht="18.75" x14ac:dyDescent="0.3">
      <c r="B3" s="737" t="s">
        <v>948</v>
      </c>
      <c r="C3" s="738"/>
      <c r="D3" s="268"/>
      <c r="E3" s="739" t="s">
        <v>949</v>
      </c>
      <c r="F3" s="738"/>
      <c r="G3" s="268"/>
      <c r="I3" s="262" t="s">
        <v>1003</v>
      </c>
      <c r="J3" s="50" t="s">
        <v>952</v>
      </c>
      <c r="K3" s="263">
        <v>0</v>
      </c>
      <c r="L3" s="263">
        <v>100000</v>
      </c>
      <c r="M3" s="251">
        <f>IF(L3=0,0,L3-K3)</f>
        <v>100000</v>
      </c>
      <c r="N3" s="264">
        <f>IF(L3=0,K3,0)</f>
        <v>0</v>
      </c>
    </row>
    <row r="4" spans="2:14" x14ac:dyDescent="0.25">
      <c r="B4" s="243"/>
      <c r="C4" s="244"/>
      <c r="D4" s="269"/>
      <c r="E4" s="254"/>
      <c r="F4" s="244"/>
      <c r="G4" s="270"/>
      <c r="I4" s="262" t="s">
        <v>1004</v>
      </c>
      <c r="J4" s="50" t="s">
        <v>953</v>
      </c>
      <c r="K4" s="263">
        <v>161000</v>
      </c>
      <c r="L4" s="263">
        <v>1122000</v>
      </c>
      <c r="M4" s="251">
        <f t="shared" ref="M4:M59" si="0">IF(L4=0,0,L4-K4)</f>
        <v>961000</v>
      </c>
      <c r="N4" s="264">
        <f t="shared" ref="N4:N62" si="1">IF(L4=0,K4,0)</f>
        <v>0</v>
      </c>
    </row>
    <row r="5" spans="2:14" x14ac:dyDescent="0.25">
      <c r="B5" s="226" t="s">
        <v>951</v>
      </c>
      <c r="C5" s="242">
        <f>SUM(C6:C8)</f>
        <v>728970</v>
      </c>
      <c r="D5" s="271">
        <f>C5/$C$29</f>
        <v>5.1039137286856447E-2</v>
      </c>
      <c r="E5" s="255" t="s">
        <v>1038</v>
      </c>
      <c r="F5" s="242">
        <f>F6+F7+F8</f>
        <v>2940669</v>
      </c>
      <c r="G5" s="271">
        <f>F5/$F$29</f>
        <v>0.20589216127714838</v>
      </c>
      <c r="I5" s="262" t="s">
        <v>1003</v>
      </c>
      <c r="J5" s="50" t="s">
        <v>954</v>
      </c>
      <c r="K5" s="263">
        <v>0</v>
      </c>
      <c r="L5" s="263">
        <v>33111</v>
      </c>
      <c r="M5" s="251">
        <f t="shared" si="0"/>
        <v>33111</v>
      </c>
      <c r="N5" s="264">
        <f t="shared" si="1"/>
        <v>0</v>
      </c>
    </row>
    <row r="6" spans="2:14" x14ac:dyDescent="0.25">
      <c r="B6" s="233" t="s">
        <v>30</v>
      </c>
      <c r="C6" s="234">
        <f>EconomiaT36!C16</f>
        <v>360170</v>
      </c>
      <c r="D6" s="272">
        <f t="shared" ref="D6:D29" si="2">C6/$C$29</f>
        <v>2.5217452126434677E-2</v>
      </c>
      <c r="E6" s="256" t="s">
        <v>1029</v>
      </c>
      <c r="F6" s="237">
        <v>300000</v>
      </c>
      <c r="G6" s="272">
        <f t="shared" ref="G6:G29" si="3">F6/$F$29</f>
        <v>2.1004624588195582E-2</v>
      </c>
      <c r="I6" s="262" t="s">
        <v>1005</v>
      </c>
      <c r="J6" s="50" t="s">
        <v>955</v>
      </c>
      <c r="K6" s="263">
        <v>1001</v>
      </c>
      <c r="L6" s="263">
        <v>48000</v>
      </c>
      <c r="M6" s="251">
        <f t="shared" si="0"/>
        <v>46999</v>
      </c>
      <c r="N6" s="264">
        <f t="shared" si="1"/>
        <v>0</v>
      </c>
    </row>
    <row r="7" spans="2:14" x14ac:dyDescent="0.25">
      <c r="B7" s="233" t="s">
        <v>11</v>
      </c>
      <c r="C7" s="234">
        <f>EconomiaT36!C20</f>
        <v>368800</v>
      </c>
      <c r="D7" s="272">
        <f t="shared" si="2"/>
        <v>2.582168516042177E-2</v>
      </c>
      <c r="E7" s="256" t="s">
        <v>1033</v>
      </c>
      <c r="F7" s="237">
        <v>550000</v>
      </c>
      <c r="G7" s="272">
        <f t="shared" si="3"/>
        <v>3.8508478411691902E-2</v>
      </c>
      <c r="I7" s="262" t="s">
        <v>1004</v>
      </c>
      <c r="J7" s="50" t="s">
        <v>956</v>
      </c>
      <c r="K7" s="263">
        <v>624000</v>
      </c>
      <c r="L7" s="263">
        <v>0</v>
      </c>
      <c r="M7" s="251">
        <f t="shared" si="0"/>
        <v>0</v>
      </c>
      <c r="N7" s="264">
        <f t="shared" si="1"/>
        <v>624000</v>
      </c>
    </row>
    <row r="8" spans="2:14" x14ac:dyDescent="0.25">
      <c r="B8" s="245" t="s">
        <v>1026</v>
      </c>
      <c r="C8" s="248">
        <v>0</v>
      </c>
      <c r="D8" s="272">
        <f t="shared" si="2"/>
        <v>0</v>
      </c>
      <c r="E8" s="256" t="s">
        <v>1030</v>
      </c>
      <c r="F8" s="237">
        <f>899000+280219+842098+71260-1908</f>
        <v>2090669</v>
      </c>
      <c r="G8" s="272">
        <f t="shared" si="3"/>
        <v>0.14637905827726092</v>
      </c>
      <c r="I8" s="262" t="s">
        <v>1004</v>
      </c>
      <c r="J8" s="50" t="s">
        <v>957</v>
      </c>
      <c r="K8" s="263">
        <v>56001</v>
      </c>
      <c r="L8" s="263">
        <v>0</v>
      </c>
      <c r="M8" s="251">
        <f t="shared" si="0"/>
        <v>0</v>
      </c>
      <c r="N8" s="264">
        <f t="shared" si="1"/>
        <v>56001</v>
      </c>
    </row>
    <row r="9" spans="2:14" x14ac:dyDescent="0.25">
      <c r="B9" s="228"/>
      <c r="C9" s="227"/>
      <c r="D9" s="271"/>
      <c r="E9" s="257"/>
      <c r="F9" s="227"/>
      <c r="G9" s="271"/>
      <c r="I9" s="262" t="s">
        <v>1006</v>
      </c>
      <c r="J9" s="50" t="s">
        <v>958</v>
      </c>
      <c r="K9" s="263">
        <v>101001</v>
      </c>
      <c r="L9" s="263">
        <v>199995</v>
      </c>
      <c r="M9" s="251">
        <f t="shared" si="0"/>
        <v>98994</v>
      </c>
      <c r="N9" s="264">
        <f t="shared" si="1"/>
        <v>0</v>
      </c>
    </row>
    <row r="10" spans="2:14" x14ac:dyDescent="0.25">
      <c r="B10" s="226" t="s">
        <v>481</v>
      </c>
      <c r="C10" s="242">
        <f>SUM(C11:C14)</f>
        <v>4903212</v>
      </c>
      <c r="D10" s="271">
        <f t="shared" si="2"/>
        <v>0.34330042445445214</v>
      </c>
      <c r="E10" s="255" t="s">
        <v>950</v>
      </c>
      <c r="F10" s="242">
        <f>SUM(F11:F16)</f>
        <v>4785695</v>
      </c>
      <c r="G10" s="271">
        <f t="shared" si="3"/>
        <v>0.33507242289534889</v>
      </c>
      <c r="I10" s="262" t="s">
        <v>1006</v>
      </c>
      <c r="J10" s="50" t="s">
        <v>959</v>
      </c>
      <c r="K10" s="263">
        <v>65001</v>
      </c>
      <c r="L10" s="263">
        <v>83000</v>
      </c>
      <c r="M10" s="251">
        <f t="shared" si="0"/>
        <v>17999</v>
      </c>
      <c r="N10" s="264">
        <f t="shared" si="1"/>
        <v>0</v>
      </c>
    </row>
    <row r="11" spans="2:14" x14ac:dyDescent="0.25">
      <c r="B11" s="233" t="s">
        <v>998</v>
      </c>
      <c r="C11" s="273">
        <f>SUMIF($I$3:$I$62,"C",$N$3:$N$62)</f>
        <v>0</v>
      </c>
      <c r="D11" s="272">
        <f t="shared" si="2"/>
        <v>0</v>
      </c>
      <c r="E11" s="258" t="s">
        <v>999</v>
      </c>
      <c r="F11" s="232">
        <f>SUMIF($I$3:$I$62,"J",$M$3:$M$62)</f>
        <v>702652</v>
      </c>
      <c r="G11" s="272">
        <f t="shared" si="3"/>
        <v>4.9196471587149342E-2</v>
      </c>
      <c r="I11" s="262" t="s">
        <v>1006</v>
      </c>
      <c r="J11" s="50" t="s">
        <v>960</v>
      </c>
      <c r="K11" s="263">
        <v>299001</v>
      </c>
      <c r="L11" s="263">
        <v>259000</v>
      </c>
      <c r="M11" s="251">
        <f t="shared" si="0"/>
        <v>-40001</v>
      </c>
      <c r="N11" s="264">
        <f t="shared" si="1"/>
        <v>0</v>
      </c>
    </row>
    <row r="12" spans="2:14" x14ac:dyDescent="0.25">
      <c r="B12" s="233" t="s">
        <v>481</v>
      </c>
      <c r="C12" s="273">
        <f>SUMIF($I$3:$I$62,"J",$N$3:$N$62)</f>
        <v>2049003</v>
      </c>
      <c r="D12" s="272">
        <f t="shared" si="2"/>
        <v>0.14346179598362171</v>
      </c>
      <c r="E12" s="259" t="s">
        <v>1001</v>
      </c>
      <c r="F12" s="232">
        <f>SUMIF($I$3:$I$62,"C",$M$3:$M$62)</f>
        <v>609111</v>
      </c>
      <c r="G12" s="272">
        <f t="shared" si="3"/>
        <v>4.2647159625134663E-2</v>
      </c>
      <c r="I12" s="262" t="s">
        <v>1006</v>
      </c>
      <c r="J12" s="50" t="s">
        <v>961</v>
      </c>
      <c r="K12" s="263">
        <v>77000</v>
      </c>
      <c r="L12" s="263">
        <v>120000</v>
      </c>
      <c r="M12" s="251">
        <f t="shared" si="0"/>
        <v>43000</v>
      </c>
      <c r="N12" s="264">
        <f t="shared" si="1"/>
        <v>0</v>
      </c>
    </row>
    <row r="13" spans="2:14" x14ac:dyDescent="0.25">
      <c r="B13" s="233" t="s">
        <v>819</v>
      </c>
      <c r="C13" s="273">
        <f>SUMIF($I$3:$I$62,"E",$N$3:$N$62)</f>
        <v>2704204</v>
      </c>
      <c r="D13" s="272">
        <f t="shared" si="2"/>
        <v>0.18933596609965617</v>
      </c>
      <c r="E13" s="259" t="s">
        <v>1000</v>
      </c>
      <c r="F13" s="232">
        <f>SUMIF($I$3:$I$62,"E",$M$3:$M$62)</f>
        <v>3513747</v>
      </c>
      <c r="G13" s="272">
        <f t="shared" si="3"/>
        <v>0.24601645544299489</v>
      </c>
      <c r="I13" s="262" t="s">
        <v>1003</v>
      </c>
      <c r="J13" s="50" t="s">
        <v>962</v>
      </c>
      <c r="K13" s="263">
        <v>0</v>
      </c>
      <c r="L13" s="263">
        <v>13000</v>
      </c>
      <c r="M13" s="251">
        <f t="shared" si="0"/>
        <v>13000</v>
      </c>
      <c r="N13" s="264">
        <f t="shared" si="1"/>
        <v>0</v>
      </c>
    </row>
    <row r="14" spans="2:14" x14ac:dyDescent="0.25">
      <c r="B14" s="233" t="s">
        <v>997</v>
      </c>
      <c r="C14" s="273">
        <f>SUMIF($I$3:$I$62,"M",$N$3:$N$62)</f>
        <v>150005</v>
      </c>
      <c r="D14" s="272">
        <f t="shared" si="2"/>
        <v>1.0502662371174261E-2</v>
      </c>
      <c r="E14" s="259" t="s">
        <v>1021</v>
      </c>
      <c r="F14" s="232">
        <f>SUMIF($I$3:$I$62,"M",$M$3:$M$62)</f>
        <v>79996</v>
      </c>
      <c r="G14" s="272">
        <f t="shared" si="3"/>
        <v>5.6009531618576459E-3</v>
      </c>
      <c r="I14" s="262" t="s">
        <v>1006</v>
      </c>
      <c r="J14" s="50" t="s">
        <v>963</v>
      </c>
      <c r="K14" s="263">
        <v>74001</v>
      </c>
      <c r="L14" s="263">
        <v>0</v>
      </c>
      <c r="M14" s="251">
        <f t="shared" si="0"/>
        <v>0</v>
      </c>
      <c r="N14" s="264">
        <f t="shared" si="1"/>
        <v>74001</v>
      </c>
    </row>
    <row r="15" spans="2:14" x14ac:dyDescent="0.25">
      <c r="B15" s="235"/>
      <c r="C15" s="236"/>
      <c r="D15" s="271"/>
      <c r="E15" s="252" t="s">
        <v>1139</v>
      </c>
      <c r="F15" s="238">
        <f>(EconomiaT36!C8+EconomiaT36!C9)-C17</f>
        <v>-535736</v>
      </c>
      <c r="G15" s="272">
        <f t="shared" si="3"/>
        <v>-3.7509778527938499E-2</v>
      </c>
      <c r="H15" s="59"/>
      <c r="I15" s="262" t="s">
        <v>1006</v>
      </c>
      <c r="J15" s="50" t="s">
        <v>964</v>
      </c>
      <c r="K15" s="263">
        <v>84701</v>
      </c>
      <c r="L15" s="263">
        <v>121000</v>
      </c>
      <c r="M15" s="251">
        <f t="shared" si="0"/>
        <v>36299</v>
      </c>
      <c r="N15" s="264">
        <f t="shared" si="1"/>
        <v>0</v>
      </c>
    </row>
    <row r="16" spans="2:14" x14ac:dyDescent="0.25">
      <c r="B16" s="226" t="s">
        <v>48</v>
      </c>
      <c r="C16" s="260">
        <f>C17</f>
        <v>6840434</v>
      </c>
      <c r="D16" s="271">
        <f t="shared" si="2"/>
        <v>0.47893582730109691</v>
      </c>
      <c r="E16" s="259" t="s">
        <v>1022</v>
      </c>
      <c r="F16" s="246">
        <f>C19-F21</f>
        <v>415925</v>
      </c>
      <c r="G16" s="272">
        <f t="shared" si="3"/>
        <v>2.9121161606150827E-2</v>
      </c>
      <c r="I16" s="262" t="s">
        <v>1003</v>
      </c>
      <c r="J16" s="50" t="s">
        <v>965</v>
      </c>
      <c r="K16" s="263">
        <v>0</v>
      </c>
      <c r="L16" s="263">
        <v>2000</v>
      </c>
      <c r="M16" s="251">
        <f t="shared" si="0"/>
        <v>2000</v>
      </c>
      <c r="N16" s="264">
        <f t="shared" si="1"/>
        <v>0</v>
      </c>
    </row>
    <row r="17" spans="2:14" x14ac:dyDescent="0.25">
      <c r="B17" s="233" t="s">
        <v>48</v>
      </c>
      <c r="C17" s="273">
        <f>SUM(L3:L62)</f>
        <v>6840434</v>
      </c>
      <c r="D17" s="272">
        <f t="shared" si="2"/>
        <v>0.47893582730109691</v>
      </c>
      <c r="E17" s="50"/>
      <c r="F17" s="227"/>
      <c r="G17" s="271"/>
      <c r="I17" s="262" t="s">
        <v>1006</v>
      </c>
      <c r="J17" s="50" t="s">
        <v>966</v>
      </c>
      <c r="K17" s="263">
        <v>450000</v>
      </c>
      <c r="L17" s="263">
        <v>774995</v>
      </c>
      <c r="M17" s="251">
        <f t="shared" si="0"/>
        <v>324995</v>
      </c>
      <c r="N17" s="264">
        <f t="shared" si="1"/>
        <v>0</v>
      </c>
    </row>
    <row r="18" spans="2:14" x14ac:dyDescent="0.25">
      <c r="B18" s="235"/>
      <c r="C18" s="236"/>
      <c r="D18" s="271"/>
      <c r="E18" s="255" t="s">
        <v>1034</v>
      </c>
      <c r="F18" s="260">
        <f>F19</f>
        <v>5162177</v>
      </c>
      <c r="G18" s="271">
        <f t="shared" si="3"/>
        <v>0.36143196647605902</v>
      </c>
      <c r="I18" s="262" t="s">
        <v>1006</v>
      </c>
      <c r="J18" s="50" t="s">
        <v>967</v>
      </c>
      <c r="K18" s="263">
        <v>150965</v>
      </c>
      <c r="L18" s="263">
        <v>218000</v>
      </c>
      <c r="M18" s="251">
        <f t="shared" si="0"/>
        <v>67035</v>
      </c>
      <c r="N18" s="264">
        <f t="shared" si="1"/>
        <v>0</v>
      </c>
    </row>
    <row r="19" spans="2:14" x14ac:dyDescent="0.25">
      <c r="B19" s="226" t="s">
        <v>1031</v>
      </c>
      <c r="C19" s="242">
        <f>SUM(C20:C24)</f>
        <v>1809953</v>
      </c>
      <c r="D19" s="271">
        <f t="shared" si="2"/>
        <v>0.12672461095759455</v>
      </c>
      <c r="E19" s="252" t="s">
        <v>50</v>
      </c>
      <c r="F19" s="248">
        <f>EconomiaT36!C19</f>
        <v>5162177</v>
      </c>
      <c r="G19" s="272">
        <f t="shared" si="3"/>
        <v>0.36143196647605902</v>
      </c>
      <c r="I19" s="262" t="s">
        <v>1005</v>
      </c>
      <c r="J19" s="50" t="s">
        <v>968</v>
      </c>
      <c r="K19" s="263">
        <v>2001</v>
      </c>
      <c r="L19" s="263">
        <v>3000</v>
      </c>
      <c r="M19" s="251">
        <f t="shared" si="0"/>
        <v>999</v>
      </c>
      <c r="N19" s="264">
        <f t="shared" si="1"/>
        <v>0</v>
      </c>
    </row>
    <row r="20" spans="2:14" x14ac:dyDescent="0.25">
      <c r="B20" s="231" t="s">
        <v>42</v>
      </c>
      <c r="C20" s="246">
        <f>EconomiaT36!C11</f>
        <v>32160</v>
      </c>
      <c r="D20" s="272">
        <f t="shared" si="2"/>
        <v>2.2516957558545666E-3</v>
      </c>
      <c r="E20" s="50"/>
      <c r="F20" s="227"/>
      <c r="G20" s="271"/>
      <c r="I20" s="262" t="s">
        <v>1003</v>
      </c>
      <c r="J20" s="50" t="s">
        <v>969</v>
      </c>
      <c r="K20" s="263">
        <v>0</v>
      </c>
      <c r="L20" s="263">
        <v>389000</v>
      </c>
      <c r="M20" s="251">
        <f t="shared" si="0"/>
        <v>389000</v>
      </c>
      <c r="N20" s="264">
        <f t="shared" si="1"/>
        <v>0</v>
      </c>
    </row>
    <row r="21" spans="2:14" x14ac:dyDescent="0.25">
      <c r="B21" s="231" t="s">
        <v>51</v>
      </c>
      <c r="C21" s="246">
        <f>EconomiaT36!C12</f>
        <v>55000</v>
      </c>
      <c r="D21" s="272">
        <f t="shared" si="2"/>
        <v>3.8508478411691904E-3</v>
      </c>
      <c r="E21" s="255" t="s">
        <v>1032</v>
      </c>
      <c r="F21" s="242">
        <f>SUM(F22:F27)</f>
        <v>1394028</v>
      </c>
      <c r="G21" s="271">
        <f t="shared" si="3"/>
        <v>9.7603449351443702E-2</v>
      </c>
      <c r="I21" s="262" t="s">
        <v>1006</v>
      </c>
      <c r="J21" s="50" t="s">
        <v>970</v>
      </c>
      <c r="K21" s="263">
        <v>200000</v>
      </c>
      <c r="L21" s="263">
        <v>0</v>
      </c>
      <c r="M21" s="251">
        <f t="shared" si="0"/>
        <v>0</v>
      </c>
      <c r="N21" s="264">
        <f t="shared" si="1"/>
        <v>200000</v>
      </c>
    </row>
    <row r="22" spans="2:14" x14ac:dyDescent="0.25">
      <c r="B22" s="231" t="s">
        <v>0</v>
      </c>
      <c r="C22" s="246">
        <f>EconomiaT36!C6</f>
        <v>888988</v>
      </c>
      <c r="D22" s="272">
        <f t="shared" si="2"/>
        <v>6.2242864011369387E-2</v>
      </c>
      <c r="E22" s="252" t="s">
        <v>1</v>
      </c>
      <c r="F22" s="238">
        <f>EconomiaT36!C14</f>
        <v>423734</v>
      </c>
      <c r="G22" s="272">
        <f t="shared" si="3"/>
        <v>2.9667911984181557E-2</v>
      </c>
      <c r="I22" s="262" t="s">
        <v>1006</v>
      </c>
      <c r="J22" s="50" t="s">
        <v>971</v>
      </c>
      <c r="K22" s="263">
        <v>1001</v>
      </c>
      <c r="L22" s="263">
        <v>10000</v>
      </c>
      <c r="M22" s="251">
        <f t="shared" si="0"/>
        <v>8999</v>
      </c>
      <c r="N22" s="264">
        <f t="shared" si="1"/>
        <v>0</v>
      </c>
    </row>
    <row r="23" spans="2:14" x14ac:dyDescent="0.25">
      <c r="B23" s="231" t="s">
        <v>2</v>
      </c>
      <c r="C23" s="246">
        <f>EconomiaT36!C7</f>
        <v>731385</v>
      </c>
      <c r="D23" s="272">
        <f t="shared" si="2"/>
        <v>5.1208224514791421E-2</v>
      </c>
      <c r="E23" s="252" t="s">
        <v>29</v>
      </c>
      <c r="F23" s="238">
        <f>EconomiaT36!C15</f>
        <v>155697</v>
      </c>
      <c r="G23" s="272">
        <f t="shared" si="3"/>
        <v>1.0901190115027626E-2</v>
      </c>
      <c r="I23" s="262" t="s">
        <v>1005</v>
      </c>
      <c r="J23" s="50" t="s">
        <v>972</v>
      </c>
      <c r="K23" s="263">
        <v>1001</v>
      </c>
      <c r="L23" s="263">
        <v>26000</v>
      </c>
      <c r="M23" s="251">
        <f t="shared" si="0"/>
        <v>24999</v>
      </c>
      <c r="N23" s="264">
        <f t="shared" si="1"/>
        <v>0</v>
      </c>
    </row>
    <row r="24" spans="2:14" x14ac:dyDescent="0.25">
      <c r="B24" s="231" t="s">
        <v>5</v>
      </c>
      <c r="C24" s="246">
        <f>EconomiaT36!C10</f>
        <v>102420</v>
      </c>
      <c r="D24" s="272">
        <f t="shared" si="2"/>
        <v>7.1709788344099723E-3</v>
      </c>
      <c r="E24" s="252" t="s">
        <v>6</v>
      </c>
      <c r="F24" s="238">
        <f>EconomiaT36!C17</f>
        <v>437400</v>
      </c>
      <c r="G24" s="272">
        <f t="shared" si="3"/>
        <v>3.062474264958916E-2</v>
      </c>
      <c r="I24" s="262" t="s">
        <v>1004</v>
      </c>
      <c r="J24" s="50" t="s">
        <v>973</v>
      </c>
      <c r="K24" s="263">
        <v>1250</v>
      </c>
      <c r="L24" s="263">
        <v>61000</v>
      </c>
      <c r="M24" s="251">
        <f t="shared" si="0"/>
        <v>59750</v>
      </c>
      <c r="N24" s="264">
        <f t="shared" si="1"/>
        <v>0</v>
      </c>
    </row>
    <row r="25" spans="2:14" x14ac:dyDescent="0.25">
      <c r="B25" s="231" t="s">
        <v>1036</v>
      </c>
      <c r="C25" s="246">
        <f>EconomiaT36!C5</f>
        <v>64745</v>
      </c>
      <c r="D25" s="272">
        <f t="shared" si="2"/>
        <v>4.5331480632090767E-3</v>
      </c>
      <c r="E25" s="252" t="s">
        <v>8</v>
      </c>
      <c r="F25" s="238">
        <f>EconomiaT36!C18</f>
        <v>280000</v>
      </c>
      <c r="G25" s="272">
        <f t="shared" si="3"/>
        <v>1.9604316282315879E-2</v>
      </c>
      <c r="I25" s="262" t="s">
        <v>1006</v>
      </c>
      <c r="J25" s="50" t="s">
        <v>974</v>
      </c>
      <c r="K25" s="263">
        <v>61000</v>
      </c>
      <c r="L25" s="263">
        <v>0</v>
      </c>
      <c r="M25" s="251">
        <f t="shared" si="0"/>
        <v>0</v>
      </c>
      <c r="N25" s="264">
        <f t="shared" si="1"/>
        <v>61000</v>
      </c>
    </row>
    <row r="26" spans="2:14" x14ac:dyDescent="0.25">
      <c r="B26" s="226"/>
      <c r="C26" s="242"/>
      <c r="D26" s="271"/>
      <c r="E26" s="252" t="s">
        <v>818</v>
      </c>
      <c r="F26" s="238">
        <f>EconomiaT36!C21</f>
        <v>97197</v>
      </c>
      <c r="G26" s="272">
        <f t="shared" si="3"/>
        <v>6.8052883203294865E-3</v>
      </c>
      <c r="I26" s="262" t="s">
        <v>1005</v>
      </c>
      <c r="J26" s="50" t="s">
        <v>975</v>
      </c>
      <c r="K26" s="263">
        <v>1001</v>
      </c>
      <c r="L26" s="263">
        <v>8000</v>
      </c>
      <c r="M26" s="251">
        <f t="shared" si="0"/>
        <v>6999</v>
      </c>
      <c r="N26" s="264">
        <f t="shared" si="1"/>
        <v>0</v>
      </c>
    </row>
    <row r="27" spans="2:14" x14ac:dyDescent="0.25">
      <c r="B27" s="226"/>
      <c r="C27" s="242"/>
      <c r="D27" s="271"/>
      <c r="E27" s="252" t="s">
        <v>10</v>
      </c>
      <c r="F27" s="238">
        <f>EconomiaT36!C22</f>
        <v>0</v>
      </c>
      <c r="G27" s="272">
        <f t="shared" si="3"/>
        <v>0</v>
      </c>
      <c r="I27" s="262" t="s">
        <v>1006</v>
      </c>
      <c r="J27" s="50" t="s">
        <v>976</v>
      </c>
      <c r="K27" s="263">
        <v>261000</v>
      </c>
      <c r="L27" s="263">
        <v>333333</v>
      </c>
      <c r="M27" s="251">
        <f t="shared" si="0"/>
        <v>72333</v>
      </c>
      <c r="N27" s="264">
        <f t="shared" si="1"/>
        <v>0</v>
      </c>
    </row>
    <row r="28" spans="2:14" x14ac:dyDescent="0.25">
      <c r="B28" s="230"/>
      <c r="C28" s="229"/>
      <c r="D28" s="271"/>
      <c r="E28" s="253"/>
      <c r="F28" s="229"/>
      <c r="G28" s="271"/>
      <c r="I28" s="262" t="s">
        <v>1003</v>
      </c>
      <c r="J28" s="50" t="s">
        <v>977</v>
      </c>
      <c r="K28" s="263">
        <v>0</v>
      </c>
      <c r="L28" s="263">
        <v>12000</v>
      </c>
      <c r="M28" s="251">
        <f t="shared" si="0"/>
        <v>12000</v>
      </c>
      <c r="N28" s="264">
        <f t="shared" si="1"/>
        <v>0</v>
      </c>
    </row>
    <row r="29" spans="2:14" ht="18.75" x14ac:dyDescent="0.3">
      <c r="B29" s="239" t="s">
        <v>291</v>
      </c>
      <c r="C29" s="240">
        <f>C19+C16+C10+C5</f>
        <v>14282569</v>
      </c>
      <c r="D29" s="43">
        <f t="shared" si="2"/>
        <v>1</v>
      </c>
      <c r="E29" s="241" t="s">
        <v>291</v>
      </c>
      <c r="F29" s="240">
        <f>F21+F18+F10+F5</f>
        <v>14282569</v>
      </c>
      <c r="G29" s="43">
        <f t="shared" si="3"/>
        <v>1</v>
      </c>
      <c r="I29" s="262" t="s">
        <v>1006</v>
      </c>
      <c r="J29" s="50" t="s">
        <v>978</v>
      </c>
      <c r="K29" s="263">
        <v>2001</v>
      </c>
      <c r="L29" s="263">
        <v>55000</v>
      </c>
      <c r="M29" s="251">
        <f t="shared" si="0"/>
        <v>52999</v>
      </c>
      <c r="N29" s="264">
        <f t="shared" si="1"/>
        <v>0</v>
      </c>
    </row>
    <row r="30" spans="2:14" x14ac:dyDescent="0.25">
      <c r="I30" s="262" t="s">
        <v>1004</v>
      </c>
      <c r="J30" s="50" t="s">
        <v>979</v>
      </c>
      <c r="K30" s="263">
        <v>50000</v>
      </c>
      <c r="L30" s="263">
        <v>485000</v>
      </c>
      <c r="M30" s="251">
        <f t="shared" si="0"/>
        <v>435000</v>
      </c>
      <c r="N30" s="264">
        <f t="shared" si="1"/>
        <v>0</v>
      </c>
    </row>
    <row r="31" spans="2:14" x14ac:dyDescent="0.25">
      <c r="I31" s="262" t="s">
        <v>1004</v>
      </c>
      <c r="J31" s="50" t="s">
        <v>980</v>
      </c>
      <c r="K31" s="263">
        <v>332000</v>
      </c>
      <c r="L31" s="263">
        <v>0</v>
      </c>
      <c r="M31" s="251">
        <f t="shared" si="0"/>
        <v>0</v>
      </c>
      <c r="N31" s="264">
        <f t="shared" si="1"/>
        <v>332000</v>
      </c>
    </row>
    <row r="32" spans="2:14" x14ac:dyDescent="0.25">
      <c r="I32" s="262" t="s">
        <v>1006</v>
      </c>
      <c r="J32" s="50" t="s">
        <v>981</v>
      </c>
      <c r="K32" s="263">
        <v>326001</v>
      </c>
      <c r="L32" s="263">
        <v>0</v>
      </c>
      <c r="M32" s="251">
        <f t="shared" si="0"/>
        <v>0</v>
      </c>
      <c r="N32" s="264">
        <f t="shared" si="1"/>
        <v>326001</v>
      </c>
    </row>
    <row r="33" spans="3:14" x14ac:dyDescent="0.25">
      <c r="I33" s="262" t="s">
        <v>1006</v>
      </c>
      <c r="J33" s="50" t="s">
        <v>982</v>
      </c>
      <c r="K33" s="263">
        <v>3000</v>
      </c>
      <c r="L33" s="263">
        <v>2000</v>
      </c>
      <c r="M33" s="251">
        <f t="shared" si="0"/>
        <v>-1000</v>
      </c>
      <c r="N33" s="264">
        <f t="shared" si="1"/>
        <v>0</v>
      </c>
    </row>
    <row r="34" spans="3:14" x14ac:dyDescent="0.25">
      <c r="C34" s="225">
        <f>C10+C16-F10-F18</f>
        <v>1795774</v>
      </c>
      <c r="E34" s="225"/>
      <c r="I34" s="262" t="s">
        <v>1006</v>
      </c>
      <c r="J34" s="50" t="s">
        <v>983</v>
      </c>
      <c r="K34" s="263">
        <v>135000</v>
      </c>
      <c r="L34" s="263">
        <v>0</v>
      </c>
      <c r="M34" s="251">
        <f t="shared" si="0"/>
        <v>0</v>
      </c>
      <c r="N34" s="264">
        <f t="shared" si="1"/>
        <v>135000</v>
      </c>
    </row>
    <row r="35" spans="3:14" x14ac:dyDescent="0.25">
      <c r="F35" s="225">
        <f>C29-F29</f>
        <v>0</v>
      </c>
      <c r="I35" s="262" t="s">
        <v>1003</v>
      </c>
      <c r="J35" s="50" t="s">
        <v>984</v>
      </c>
      <c r="K35" s="263">
        <v>0</v>
      </c>
      <c r="L35" s="263">
        <v>37000</v>
      </c>
      <c r="M35" s="251">
        <f t="shared" si="0"/>
        <v>37000</v>
      </c>
      <c r="N35" s="264">
        <f t="shared" si="1"/>
        <v>0</v>
      </c>
    </row>
    <row r="36" spans="3:14" x14ac:dyDescent="0.25">
      <c r="I36" s="262" t="s">
        <v>1006</v>
      </c>
      <c r="J36" s="50" t="s">
        <v>985</v>
      </c>
      <c r="K36" s="263">
        <v>765000</v>
      </c>
      <c r="L36" s="263">
        <v>0</v>
      </c>
      <c r="M36" s="251">
        <f t="shared" si="0"/>
        <v>0</v>
      </c>
      <c r="N36" s="264">
        <f t="shared" si="1"/>
        <v>765000</v>
      </c>
    </row>
    <row r="37" spans="3:14" x14ac:dyDescent="0.25">
      <c r="I37" s="262" t="s">
        <v>1006</v>
      </c>
      <c r="J37" s="50" t="s">
        <v>986</v>
      </c>
      <c r="K37" s="263">
        <v>162000</v>
      </c>
      <c r="L37" s="263">
        <v>0</v>
      </c>
      <c r="M37" s="251">
        <f t="shared" si="0"/>
        <v>0</v>
      </c>
      <c r="N37" s="264">
        <f t="shared" si="1"/>
        <v>162000</v>
      </c>
    </row>
    <row r="38" spans="3:14" x14ac:dyDescent="0.25">
      <c r="E38" s="225"/>
      <c r="I38" s="262" t="s">
        <v>1004</v>
      </c>
      <c r="J38" s="123" t="s">
        <v>1039</v>
      </c>
      <c r="K38" s="263">
        <v>500000</v>
      </c>
      <c r="L38" s="263">
        <v>0</v>
      </c>
      <c r="M38" s="251">
        <f t="shared" si="0"/>
        <v>0</v>
      </c>
      <c r="N38" s="264">
        <f t="shared" si="1"/>
        <v>500000</v>
      </c>
    </row>
    <row r="39" spans="3:14" x14ac:dyDescent="0.25">
      <c r="E39" s="225"/>
      <c r="I39" s="262" t="s">
        <v>1005</v>
      </c>
      <c r="J39" s="50" t="s">
        <v>987</v>
      </c>
      <c r="K39" s="263">
        <v>30001</v>
      </c>
      <c r="L39" s="263">
        <v>0</v>
      </c>
      <c r="M39" s="251">
        <f t="shared" si="0"/>
        <v>0</v>
      </c>
      <c r="N39" s="264">
        <f t="shared" si="1"/>
        <v>30001</v>
      </c>
    </row>
    <row r="40" spans="3:14" x14ac:dyDescent="0.25">
      <c r="E40" s="225"/>
      <c r="I40" s="262" t="s">
        <v>1005</v>
      </c>
      <c r="J40" s="50" t="s">
        <v>988</v>
      </c>
      <c r="K40" s="263">
        <v>30001</v>
      </c>
      <c r="L40" s="263">
        <v>0</v>
      </c>
      <c r="M40" s="251">
        <f t="shared" si="0"/>
        <v>0</v>
      </c>
      <c r="N40" s="264">
        <f t="shared" si="1"/>
        <v>30001</v>
      </c>
    </row>
    <row r="41" spans="3:14" x14ac:dyDescent="0.25">
      <c r="E41" s="225"/>
      <c r="I41" s="262" t="s">
        <v>1005</v>
      </c>
      <c r="J41" s="50" t="s">
        <v>989</v>
      </c>
      <c r="K41" s="263">
        <v>30001</v>
      </c>
      <c r="L41" s="263">
        <v>0</v>
      </c>
      <c r="M41" s="251">
        <f t="shared" si="0"/>
        <v>0</v>
      </c>
      <c r="N41" s="264">
        <f t="shared" si="1"/>
        <v>30001</v>
      </c>
    </row>
    <row r="42" spans="3:14" x14ac:dyDescent="0.25">
      <c r="E42" s="225"/>
      <c r="I42" s="262" t="s">
        <v>1005</v>
      </c>
      <c r="J42" s="50" t="s">
        <v>990</v>
      </c>
      <c r="K42" s="263">
        <v>30001</v>
      </c>
      <c r="L42" s="263">
        <v>0</v>
      </c>
      <c r="M42" s="251">
        <f t="shared" si="0"/>
        <v>0</v>
      </c>
      <c r="N42" s="264">
        <f t="shared" si="1"/>
        <v>30001</v>
      </c>
    </row>
    <row r="43" spans="3:14" x14ac:dyDescent="0.25">
      <c r="E43" s="225"/>
      <c r="I43" s="262" t="s">
        <v>1005</v>
      </c>
      <c r="J43" s="50" t="s">
        <v>991</v>
      </c>
      <c r="K43" s="263">
        <v>30001</v>
      </c>
      <c r="L43" s="263">
        <v>0</v>
      </c>
      <c r="M43" s="251">
        <f t="shared" si="0"/>
        <v>0</v>
      </c>
      <c r="N43" s="264">
        <f t="shared" si="1"/>
        <v>30001</v>
      </c>
    </row>
    <row r="44" spans="3:14" x14ac:dyDescent="0.25">
      <c r="E44" s="225"/>
      <c r="I44" s="262" t="s">
        <v>1004</v>
      </c>
      <c r="J44" s="50" t="s">
        <v>992</v>
      </c>
      <c r="K44" s="263">
        <v>45001</v>
      </c>
      <c r="L44" s="263">
        <v>485000</v>
      </c>
      <c r="M44" s="251">
        <f t="shared" si="0"/>
        <v>439999</v>
      </c>
      <c r="N44" s="264">
        <f t="shared" si="1"/>
        <v>0</v>
      </c>
    </row>
    <row r="45" spans="3:14" x14ac:dyDescent="0.25">
      <c r="I45" s="262" t="s">
        <v>1004</v>
      </c>
      <c r="J45" s="50" t="s">
        <v>993</v>
      </c>
      <c r="K45" s="263">
        <v>312000</v>
      </c>
      <c r="L45" s="263">
        <v>0</v>
      </c>
      <c r="M45" s="251">
        <f t="shared" si="0"/>
        <v>0</v>
      </c>
      <c r="N45" s="264">
        <f t="shared" si="1"/>
        <v>312000</v>
      </c>
    </row>
    <row r="46" spans="3:14" x14ac:dyDescent="0.25">
      <c r="I46" s="262" t="s">
        <v>1003</v>
      </c>
      <c r="J46" s="50" t="s">
        <v>994</v>
      </c>
      <c r="K46" s="263">
        <v>0</v>
      </c>
      <c r="L46" s="263">
        <v>23000</v>
      </c>
      <c r="M46" s="251">
        <f t="shared" si="0"/>
        <v>23000</v>
      </c>
      <c r="N46" s="264">
        <f t="shared" si="1"/>
        <v>0</v>
      </c>
    </row>
    <row r="47" spans="3:14" x14ac:dyDescent="0.25">
      <c r="I47" s="262" t="s">
        <v>1004</v>
      </c>
      <c r="J47" s="50" t="s">
        <v>995</v>
      </c>
      <c r="K47" s="263">
        <v>53001</v>
      </c>
      <c r="L47" s="263">
        <v>799000</v>
      </c>
      <c r="M47" s="251">
        <f t="shared" si="0"/>
        <v>745999</v>
      </c>
      <c r="N47" s="264">
        <f t="shared" si="1"/>
        <v>0</v>
      </c>
    </row>
    <row r="48" spans="3:14" x14ac:dyDescent="0.25">
      <c r="I48" s="262" t="s">
        <v>1004</v>
      </c>
      <c r="J48" s="50" t="s">
        <v>996</v>
      </c>
      <c r="K48" s="263">
        <v>543000</v>
      </c>
      <c r="L48" s="263">
        <v>0</v>
      </c>
      <c r="M48" s="251">
        <f t="shared" si="0"/>
        <v>0</v>
      </c>
      <c r="N48" s="264">
        <f t="shared" si="1"/>
        <v>543000</v>
      </c>
    </row>
    <row r="49" spans="9:14" x14ac:dyDescent="0.25">
      <c r="I49" s="262" t="s">
        <v>1006</v>
      </c>
      <c r="J49" s="50" t="s">
        <v>1008</v>
      </c>
      <c r="K49" s="263">
        <v>79000</v>
      </c>
      <c r="L49" s="263">
        <v>100000</v>
      </c>
      <c r="M49" s="251">
        <f t="shared" si="0"/>
        <v>21000</v>
      </c>
      <c r="N49" s="264">
        <f t="shared" si="1"/>
        <v>0</v>
      </c>
    </row>
    <row r="50" spans="9:14" x14ac:dyDescent="0.25">
      <c r="I50" s="262" t="s">
        <v>1006</v>
      </c>
      <c r="J50" s="50" t="s">
        <v>1009</v>
      </c>
      <c r="K50" s="263">
        <v>6001</v>
      </c>
      <c r="L50" s="263">
        <v>0</v>
      </c>
      <c r="M50" s="251">
        <f t="shared" si="0"/>
        <v>0</v>
      </c>
      <c r="N50" s="264">
        <f t="shared" si="1"/>
        <v>6001</v>
      </c>
    </row>
    <row r="51" spans="9:14" x14ac:dyDescent="0.25">
      <c r="I51" s="262" t="s">
        <v>1006</v>
      </c>
      <c r="J51" s="50" t="s">
        <v>1010</v>
      </c>
      <c r="K51" s="263">
        <v>320000</v>
      </c>
      <c r="L51" s="263">
        <v>0</v>
      </c>
      <c r="M51" s="251">
        <f t="shared" si="0"/>
        <v>0</v>
      </c>
      <c r="N51" s="264">
        <f t="shared" si="1"/>
        <v>320000</v>
      </c>
    </row>
    <row r="52" spans="9:14" x14ac:dyDescent="0.25">
      <c r="I52" s="262" t="s">
        <v>1004</v>
      </c>
      <c r="J52" s="50" t="s">
        <v>1011</v>
      </c>
      <c r="K52" s="263">
        <v>57600</v>
      </c>
      <c r="L52" s="263">
        <v>0</v>
      </c>
      <c r="M52" s="251">
        <f t="shared" si="0"/>
        <v>0</v>
      </c>
      <c r="N52" s="264">
        <f t="shared" si="1"/>
        <v>57600</v>
      </c>
    </row>
    <row r="53" spans="9:14" x14ac:dyDescent="0.25">
      <c r="I53" s="262" t="s">
        <v>1004</v>
      </c>
      <c r="J53" s="50" t="s">
        <v>1012</v>
      </c>
      <c r="K53" s="263">
        <v>72001</v>
      </c>
      <c r="L53" s="263">
        <v>0</v>
      </c>
      <c r="M53" s="251">
        <f t="shared" si="0"/>
        <v>0</v>
      </c>
      <c r="N53" s="264">
        <f t="shared" si="1"/>
        <v>72001</v>
      </c>
    </row>
    <row r="54" spans="9:14" x14ac:dyDescent="0.25">
      <c r="I54" s="262" t="s">
        <v>1004</v>
      </c>
      <c r="J54" s="50" t="s">
        <v>1013</v>
      </c>
      <c r="K54" s="263">
        <v>46001</v>
      </c>
      <c r="L54" s="263">
        <v>918000</v>
      </c>
      <c r="M54" s="251">
        <f t="shared" si="0"/>
        <v>871999</v>
      </c>
      <c r="N54" s="264">
        <f t="shared" si="1"/>
        <v>0</v>
      </c>
    </row>
    <row r="55" spans="9:14" x14ac:dyDescent="0.25">
      <c r="I55" s="262" t="s">
        <v>1004</v>
      </c>
      <c r="J55" s="50" t="s">
        <v>1014</v>
      </c>
      <c r="K55" s="263">
        <v>49001</v>
      </c>
      <c r="L55" s="263">
        <v>0</v>
      </c>
      <c r="M55" s="251">
        <f t="shared" si="0"/>
        <v>0</v>
      </c>
      <c r="N55" s="264">
        <f t="shared" si="1"/>
        <v>49001</v>
      </c>
    </row>
    <row r="56" spans="9:14" x14ac:dyDescent="0.25">
      <c r="I56" s="262" t="s">
        <v>1004</v>
      </c>
      <c r="J56" s="50" t="s">
        <v>1015</v>
      </c>
      <c r="K56" s="263">
        <v>101001</v>
      </c>
      <c r="L56" s="263">
        <v>0</v>
      </c>
      <c r="M56" s="251">
        <f t="shared" si="0"/>
        <v>0</v>
      </c>
      <c r="N56" s="264">
        <f t="shared" si="1"/>
        <v>101001</v>
      </c>
    </row>
    <row r="57" spans="9:14" x14ac:dyDescent="0.25">
      <c r="I57" s="262" t="s">
        <v>1004</v>
      </c>
      <c r="J57" s="50" t="s">
        <v>1016</v>
      </c>
      <c r="K57" s="263">
        <v>57600</v>
      </c>
      <c r="L57" s="263">
        <v>0</v>
      </c>
      <c r="M57" s="251">
        <f t="shared" si="0"/>
        <v>0</v>
      </c>
      <c r="N57" s="264">
        <f t="shared" si="1"/>
        <v>57600</v>
      </c>
    </row>
    <row r="58" spans="9:14" x14ac:dyDescent="0.25">
      <c r="I58" s="262" t="s">
        <v>1006</v>
      </c>
      <c r="J58" s="50" t="s">
        <v>881</v>
      </c>
      <c r="K58" s="263">
        <v>0</v>
      </c>
      <c r="L58" s="263">
        <v>0</v>
      </c>
      <c r="M58" s="251">
        <f t="shared" si="0"/>
        <v>0</v>
      </c>
      <c r="N58" s="264">
        <f t="shared" si="1"/>
        <v>0</v>
      </c>
    </row>
    <row r="59" spans="9:14" x14ac:dyDescent="0.25">
      <c r="I59" s="262" t="s">
        <v>1004</v>
      </c>
      <c r="J59" s="50" t="s">
        <v>1017</v>
      </c>
      <c r="K59" s="263">
        <v>0</v>
      </c>
      <c r="L59" s="263">
        <v>0</v>
      </c>
      <c r="M59" s="251">
        <f t="shared" si="0"/>
        <v>0</v>
      </c>
      <c r="N59" s="264">
        <f t="shared" si="1"/>
        <v>0</v>
      </c>
    </row>
    <row r="60" spans="9:14" x14ac:dyDescent="0.25">
      <c r="I60" s="262" t="s">
        <v>1006</v>
      </c>
      <c r="J60" s="50" t="s">
        <v>1018</v>
      </c>
      <c r="K60" s="263">
        <v>0</v>
      </c>
      <c r="L60" s="263">
        <v>0</v>
      </c>
      <c r="M60" s="251">
        <v>0</v>
      </c>
      <c r="N60" s="264">
        <f t="shared" si="1"/>
        <v>0</v>
      </c>
    </row>
    <row r="61" spans="9:14" x14ac:dyDescent="0.25">
      <c r="I61" s="262" t="s">
        <v>1004</v>
      </c>
      <c r="J61" s="50" t="s">
        <v>1019</v>
      </c>
      <c r="K61" s="263">
        <v>0</v>
      </c>
      <c r="L61" s="263">
        <v>0</v>
      </c>
      <c r="M61" s="251">
        <v>0</v>
      </c>
      <c r="N61" s="264">
        <f t="shared" si="1"/>
        <v>0</v>
      </c>
    </row>
    <row r="62" spans="9:14" x14ac:dyDescent="0.25">
      <c r="I62" s="193" t="s">
        <v>1004</v>
      </c>
      <c r="J62" s="253" t="s">
        <v>1020</v>
      </c>
      <c r="K62" s="265">
        <v>0</v>
      </c>
      <c r="L62" s="265">
        <v>0</v>
      </c>
      <c r="M62" s="266">
        <v>0</v>
      </c>
      <c r="N62" s="267">
        <f t="shared" si="1"/>
        <v>0</v>
      </c>
    </row>
    <row r="63" spans="9:14" x14ac:dyDescent="0.25">
      <c r="K63" s="247"/>
      <c r="L63" s="247"/>
    </row>
    <row r="64" spans="9:14" x14ac:dyDescent="0.25">
      <c r="K64" s="247"/>
    </row>
  </sheetData>
  <autoFilter ref="I2:N62"/>
  <mergeCells count="5">
    <mergeCell ref="B1:F1"/>
    <mergeCell ref="B3:C3"/>
    <mergeCell ref="E3:F3"/>
    <mergeCell ref="I1:N1"/>
    <mergeCell ref="B2:F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M5" activePane="bottomRight" state="frozen"/>
      <selection pane="topRight" activeCell="D1" sqref="D1"/>
      <selection pane="bottomLeft" activeCell="A5" sqref="A5"/>
      <selection pane="bottomRight" activeCell="C10" sqref="C10"/>
    </sheetView>
  </sheetViews>
  <sheetFormatPr baseColWidth="10" defaultColWidth="11.42578125" defaultRowHeight="15" x14ac:dyDescent="0.25"/>
  <cols>
    <col min="1" max="1" width="23" style="2" bestFit="1" customWidth="1"/>
    <col min="2" max="2" width="16" style="2" customWidth="1"/>
    <col min="3" max="3" width="18.28515625" style="2" bestFit="1" customWidth="1"/>
    <col min="4" max="4" width="16.7109375" bestFit="1" customWidth="1"/>
    <col min="5" max="5" width="16.7109375" style="214" bestFit="1" customWidth="1"/>
    <col min="6" max="6" width="16.7109375" bestFit="1" customWidth="1"/>
    <col min="7" max="7" width="16.7109375" style="97" bestFit="1" customWidth="1"/>
    <col min="8" max="9" width="16.7109375" bestFit="1" customWidth="1"/>
    <col min="10" max="19" width="16.7109375" style="5" bestFit="1" customWidth="1"/>
    <col min="20" max="24" width="11.42578125" style="5"/>
    <col min="25" max="25" width="16.140625" style="5" customWidth="1"/>
    <col min="26" max="26" width="9.7109375" style="5" bestFit="1" customWidth="1"/>
    <col min="27" max="16384" width="11.42578125" style="5"/>
  </cols>
  <sheetData>
    <row r="1" spans="1:26" ht="23.25" x14ac:dyDescent="0.35">
      <c r="A1" s="156" t="s">
        <v>13</v>
      </c>
      <c r="B1" s="255"/>
      <c r="C1" s="255"/>
    </row>
    <row r="2" spans="1:26" s="178" customFormat="1" ht="12.75" x14ac:dyDescent="0.2">
      <c r="B2" s="297"/>
      <c r="C2" s="297"/>
      <c r="D2" s="180">
        <v>41069</v>
      </c>
      <c r="E2" s="181">
        <f>D2+7</f>
        <v>41076</v>
      </c>
      <c r="F2" s="181">
        <f t="shared" ref="F2:S2" si="0">E2+7</f>
        <v>41083</v>
      </c>
      <c r="G2" s="181">
        <f t="shared" si="0"/>
        <v>41090</v>
      </c>
      <c r="H2" s="181">
        <f t="shared" si="0"/>
        <v>41097</v>
      </c>
      <c r="I2" s="181">
        <f t="shared" si="0"/>
        <v>41104</v>
      </c>
      <c r="J2" s="181">
        <f t="shared" si="0"/>
        <v>41111</v>
      </c>
      <c r="K2" s="181">
        <f t="shared" si="0"/>
        <v>41118</v>
      </c>
      <c r="L2" s="181">
        <f t="shared" si="0"/>
        <v>41125</v>
      </c>
      <c r="M2" s="181">
        <f t="shared" si="0"/>
        <v>41132</v>
      </c>
      <c r="N2" s="181">
        <f t="shared" si="0"/>
        <v>41139</v>
      </c>
      <c r="O2" s="181">
        <f t="shared" si="0"/>
        <v>41146</v>
      </c>
      <c r="P2" s="181">
        <f t="shared" si="0"/>
        <v>41153</v>
      </c>
      <c r="Q2" s="181">
        <f t="shared" si="0"/>
        <v>41160</v>
      </c>
      <c r="R2" s="181">
        <f t="shared" si="0"/>
        <v>41167</v>
      </c>
      <c r="S2" s="181">
        <f t="shared" si="0"/>
        <v>41174</v>
      </c>
    </row>
    <row r="3" spans="1:26" s="6" customFormat="1" x14ac:dyDescent="0.25">
      <c r="A3" s="27"/>
      <c r="B3" s="27" t="s">
        <v>883</v>
      </c>
      <c r="C3" s="27"/>
      <c r="D3" s="52" t="s">
        <v>16</v>
      </c>
      <c r="E3" s="52" t="s">
        <v>715</v>
      </c>
      <c r="F3" s="52" t="s">
        <v>702</v>
      </c>
      <c r="G3" s="52" t="s">
        <v>703</v>
      </c>
      <c r="H3" s="52" t="s">
        <v>704</v>
      </c>
      <c r="I3" s="52" t="s">
        <v>705</v>
      </c>
      <c r="J3" s="52" t="s">
        <v>21</v>
      </c>
      <c r="K3" s="52" t="s">
        <v>22</v>
      </c>
      <c r="L3" s="52" t="s">
        <v>23</v>
      </c>
      <c r="M3" s="52" t="s">
        <v>17</v>
      </c>
      <c r="N3" s="52" t="s">
        <v>18</v>
      </c>
      <c r="O3" s="52" t="s">
        <v>24</v>
      </c>
      <c r="P3" s="52" t="s">
        <v>25</v>
      </c>
      <c r="Q3" s="52" t="s">
        <v>26</v>
      </c>
      <c r="R3" s="52" t="s">
        <v>27</v>
      </c>
      <c r="S3" s="52" t="s">
        <v>28</v>
      </c>
    </row>
    <row r="4" spans="1:26" s="6" customFormat="1" x14ac:dyDescent="0.25">
      <c r="A4" s="27"/>
      <c r="B4" s="298"/>
      <c r="C4" s="298" t="s">
        <v>42</v>
      </c>
      <c r="D4" s="295">
        <f>EconomiaT36!S4</f>
        <v>886</v>
      </c>
      <c r="E4" s="215">
        <f>D4+(D11/30)</f>
        <v>901</v>
      </c>
      <c r="F4" s="215">
        <v>919</v>
      </c>
      <c r="G4" s="215">
        <v>933</v>
      </c>
      <c r="H4" s="215">
        <v>951</v>
      </c>
      <c r="I4" s="215">
        <v>969</v>
      </c>
      <c r="J4" s="215">
        <v>983</v>
      </c>
      <c r="K4" s="215">
        <v>999</v>
      </c>
      <c r="L4" s="215">
        <v>1015</v>
      </c>
      <c r="M4" s="215">
        <v>1031</v>
      </c>
      <c r="N4" s="215">
        <f>M4+12</f>
        <v>1043</v>
      </c>
      <c r="O4" s="215">
        <v>1059</v>
      </c>
      <c r="P4" s="215">
        <v>1075</v>
      </c>
      <c r="Q4" s="215">
        <v>1089</v>
      </c>
      <c r="R4" s="215">
        <v>1103</v>
      </c>
      <c r="S4" s="215">
        <v>1117</v>
      </c>
    </row>
    <row r="5" spans="1:26" s="7" customFormat="1" ht="18.75" x14ac:dyDescent="0.3">
      <c r="A5" s="29" t="s">
        <v>12</v>
      </c>
      <c r="B5" s="29"/>
      <c r="C5" s="296">
        <f>EconomiaT36!S24</f>
        <v>894221</v>
      </c>
      <c r="D5" s="197">
        <f>C5</f>
        <v>894221</v>
      </c>
      <c r="E5" s="197">
        <f>D24</f>
        <v>176522</v>
      </c>
      <c r="F5" s="197">
        <f t="shared" ref="F5:S5" si="1">E24</f>
        <v>271967</v>
      </c>
      <c r="G5" s="197">
        <f t="shared" si="1"/>
        <v>52397</v>
      </c>
      <c r="H5" s="197">
        <f t="shared" si="1"/>
        <v>174219</v>
      </c>
      <c r="I5" s="197">
        <f t="shared" si="1"/>
        <v>135016</v>
      </c>
      <c r="J5" s="197">
        <f t="shared" si="1"/>
        <v>295090</v>
      </c>
      <c r="K5" s="197">
        <f t="shared" si="1"/>
        <v>152352</v>
      </c>
      <c r="L5" s="197">
        <f t="shared" si="1"/>
        <v>116876</v>
      </c>
      <c r="M5" s="197">
        <f t="shared" si="1"/>
        <v>532333</v>
      </c>
      <c r="N5" s="197">
        <f t="shared" si="1"/>
        <v>500873</v>
      </c>
      <c r="O5" s="197">
        <f t="shared" si="1"/>
        <v>134143</v>
      </c>
      <c r="P5" s="197">
        <f t="shared" si="1"/>
        <v>264948</v>
      </c>
      <c r="Q5" s="197">
        <f t="shared" si="1"/>
        <v>251195</v>
      </c>
      <c r="R5" s="197">
        <f t="shared" si="1"/>
        <v>449819</v>
      </c>
      <c r="S5" s="197">
        <f t="shared" si="1"/>
        <v>2409673</v>
      </c>
    </row>
    <row r="6" spans="1:26" x14ac:dyDescent="0.25">
      <c r="A6" s="8" t="s">
        <v>0</v>
      </c>
      <c r="B6" s="8" t="s">
        <v>0</v>
      </c>
      <c r="C6" s="199">
        <f>SUM(D6:S6)</f>
        <v>1478848</v>
      </c>
      <c r="D6" s="200">
        <v>115806</v>
      </c>
      <c r="E6" s="200">
        <v>150594</v>
      </c>
      <c r="F6" s="200">
        <v>7145</v>
      </c>
      <c r="G6" s="200">
        <v>170203</v>
      </c>
      <c r="H6" s="200">
        <v>3045</v>
      </c>
      <c r="I6" s="200">
        <v>4085</v>
      </c>
      <c r="J6" s="200">
        <v>190715</v>
      </c>
      <c r="K6" s="200">
        <v>5000</v>
      </c>
      <c r="L6" s="200">
        <f>176162+5000+16+1</f>
        <v>181179</v>
      </c>
      <c r="M6" s="200">
        <v>5600</v>
      </c>
      <c r="N6" s="200">
        <v>186916</v>
      </c>
      <c r="O6" s="200">
        <v>223185</v>
      </c>
      <c r="P6" s="200">
        <v>6076</v>
      </c>
      <c r="Q6" s="200">
        <v>214526</v>
      </c>
      <c r="R6" s="200">
        <v>6803</v>
      </c>
      <c r="S6" s="200">
        <v>7970</v>
      </c>
      <c r="Y6" s="8" t="s">
        <v>0</v>
      </c>
      <c r="Z6" s="219">
        <f>C6/$C$13</f>
        <v>0.12719076137214319</v>
      </c>
    </row>
    <row r="7" spans="1:26" x14ac:dyDescent="0.25">
      <c r="A7" s="8" t="s">
        <v>2</v>
      </c>
      <c r="B7" s="8" t="s">
        <v>2</v>
      </c>
      <c r="C7" s="199">
        <f t="shared" ref="C7:C23" si="2">SUM(D7:S7)</f>
        <v>925025</v>
      </c>
      <c r="D7" s="202">
        <v>46995</v>
      </c>
      <c r="E7" s="202">
        <v>51065</v>
      </c>
      <c r="F7" s="202">
        <v>53840</v>
      </c>
      <c r="G7" s="202">
        <v>55320</v>
      </c>
      <c r="H7" s="202">
        <v>56615</v>
      </c>
      <c r="I7" s="202">
        <v>57540</v>
      </c>
      <c r="J7" s="202">
        <v>58095</v>
      </c>
      <c r="K7" s="202">
        <v>58650</v>
      </c>
      <c r="L7" s="202">
        <f>K7+500</f>
        <v>59150</v>
      </c>
      <c r="M7" s="202">
        <v>59760</v>
      </c>
      <c r="N7" s="202">
        <v>60130</v>
      </c>
      <c r="O7" s="202">
        <v>60685</v>
      </c>
      <c r="P7" s="202">
        <v>61055</v>
      </c>
      <c r="Q7" s="202">
        <v>61610</v>
      </c>
      <c r="R7" s="202">
        <v>61980</v>
      </c>
      <c r="S7" s="202">
        <v>62535</v>
      </c>
      <c r="Y7" s="8" t="s">
        <v>2</v>
      </c>
      <c r="Z7" s="219">
        <f t="shared" ref="Z7:Z12" si="3">C7/$C$13</f>
        <v>7.9558300811352331E-2</v>
      </c>
    </row>
    <row r="8" spans="1:26" x14ac:dyDescent="0.25">
      <c r="A8" s="8" t="s">
        <v>3</v>
      </c>
      <c r="B8" s="8" t="s">
        <v>48</v>
      </c>
      <c r="C8" s="199">
        <f t="shared" si="2"/>
        <v>8828685</v>
      </c>
      <c r="D8" s="200">
        <v>0</v>
      </c>
      <c r="E8" s="200">
        <v>1197932</v>
      </c>
      <c r="F8" s="200">
        <v>1040084</v>
      </c>
      <c r="G8" s="200">
        <v>848054</v>
      </c>
      <c r="H8" s="200"/>
      <c r="I8" s="200">
        <v>203773</v>
      </c>
      <c r="J8" s="200">
        <v>1344213</v>
      </c>
      <c r="K8" s="200"/>
      <c r="L8" s="200">
        <v>878953</v>
      </c>
      <c r="M8" s="200"/>
      <c r="N8" s="200"/>
      <c r="O8" s="200">
        <f>902728-O9</f>
        <v>778278</v>
      </c>
      <c r="P8" s="200">
        <v>1738</v>
      </c>
      <c r="Q8" s="200"/>
      <c r="R8" s="200">
        <v>2535660</v>
      </c>
      <c r="S8" s="200"/>
      <c r="Y8" s="8" t="s">
        <v>48</v>
      </c>
      <c r="Z8" s="219">
        <f t="shared" si="3"/>
        <v>0.75932561498194551</v>
      </c>
    </row>
    <row r="9" spans="1:26" x14ac:dyDescent="0.25">
      <c r="A9" s="8"/>
      <c r="B9" s="8" t="s">
        <v>820</v>
      </c>
      <c r="C9" s="199">
        <f t="shared" si="2"/>
        <v>203300</v>
      </c>
      <c r="D9" s="200">
        <v>0</v>
      </c>
      <c r="E9" s="200">
        <v>950</v>
      </c>
      <c r="F9" s="200">
        <v>0</v>
      </c>
      <c r="G9" s="200"/>
      <c r="H9" s="200"/>
      <c r="I9" s="200"/>
      <c r="J9" s="200"/>
      <c r="K9" s="200">
        <v>5700</v>
      </c>
      <c r="L9" s="200"/>
      <c r="M9" s="200">
        <v>14250</v>
      </c>
      <c r="N9" s="200">
        <v>57950</v>
      </c>
      <c r="O9" s="200">
        <v>124450</v>
      </c>
      <c r="P9" s="200"/>
      <c r="Q9" s="200"/>
      <c r="R9" s="200"/>
      <c r="S9" s="200"/>
      <c r="Y9" s="8" t="s">
        <v>820</v>
      </c>
      <c r="Z9" s="219">
        <f t="shared" si="3"/>
        <v>1.7485151812056895E-2</v>
      </c>
    </row>
    <row r="10" spans="1:26" x14ac:dyDescent="0.25">
      <c r="A10" s="8" t="s">
        <v>5</v>
      </c>
      <c r="B10" s="8" t="s">
        <v>5</v>
      </c>
      <c r="C10" s="199">
        <f t="shared" si="2"/>
        <v>105290</v>
      </c>
      <c r="D10" s="202">
        <v>0</v>
      </c>
      <c r="E10" s="202">
        <v>0</v>
      </c>
      <c r="F10" s="202">
        <v>18565</v>
      </c>
      <c r="G10" s="202">
        <v>15</v>
      </c>
      <c r="H10" s="202">
        <v>2015</v>
      </c>
      <c r="I10" s="202"/>
      <c r="J10" s="202">
        <v>1440</v>
      </c>
      <c r="K10" s="202"/>
      <c r="L10" s="202"/>
      <c r="M10" s="202"/>
      <c r="N10" s="202"/>
      <c r="O10" s="202">
        <v>750</v>
      </c>
      <c r="P10" s="202">
        <v>37560</v>
      </c>
      <c r="Q10" s="202">
        <v>42000</v>
      </c>
      <c r="R10" s="202"/>
      <c r="S10" s="202">
        <v>2945</v>
      </c>
      <c r="Y10" s="8" t="s">
        <v>5</v>
      </c>
      <c r="Z10" s="219">
        <f t="shared" si="3"/>
        <v>9.0556401096481571E-3</v>
      </c>
    </row>
    <row r="11" spans="1:26" x14ac:dyDescent="0.25">
      <c r="A11" s="728" t="s">
        <v>7</v>
      </c>
      <c r="B11" s="8" t="s">
        <v>19</v>
      </c>
      <c r="C11" s="199">
        <f t="shared" si="2"/>
        <v>40860</v>
      </c>
      <c r="D11" s="202">
        <v>450</v>
      </c>
      <c r="E11" s="202">
        <f>(F4-E4)*30</f>
        <v>540</v>
      </c>
      <c r="F11" s="202">
        <f t="shared" ref="F11:R11" si="4">(G4-F4)*30</f>
        <v>420</v>
      </c>
      <c r="G11" s="202">
        <f t="shared" si="4"/>
        <v>540</v>
      </c>
      <c r="H11" s="202">
        <f t="shared" si="4"/>
        <v>540</v>
      </c>
      <c r="I11" s="202">
        <f t="shared" si="4"/>
        <v>420</v>
      </c>
      <c r="J11" s="202">
        <f t="shared" si="4"/>
        <v>480</v>
      </c>
      <c r="K11" s="202">
        <f t="shared" si="4"/>
        <v>480</v>
      </c>
      <c r="L11" s="202">
        <f t="shared" si="4"/>
        <v>480</v>
      </c>
      <c r="M11" s="202">
        <f t="shared" si="4"/>
        <v>360</v>
      </c>
      <c r="N11" s="202">
        <f t="shared" si="4"/>
        <v>480</v>
      </c>
      <c r="O11" s="202">
        <f t="shared" si="4"/>
        <v>480</v>
      </c>
      <c r="P11" s="202">
        <f t="shared" si="4"/>
        <v>420</v>
      </c>
      <c r="Q11" s="202">
        <f t="shared" si="4"/>
        <v>420</v>
      </c>
      <c r="R11" s="202">
        <f t="shared" si="4"/>
        <v>420</v>
      </c>
      <c r="S11" s="202">
        <f>S4*30+210+210</f>
        <v>33930</v>
      </c>
      <c r="Y11" s="8" t="s">
        <v>19</v>
      </c>
      <c r="Z11" s="219">
        <f t="shared" si="3"/>
        <v>3.5142316922805936E-3</v>
      </c>
    </row>
    <row r="12" spans="1:26" x14ac:dyDescent="0.25">
      <c r="A12" s="729"/>
      <c r="B12" s="8" t="s">
        <v>51</v>
      </c>
      <c r="C12" s="199">
        <f t="shared" si="2"/>
        <v>45000</v>
      </c>
      <c r="D12" s="202">
        <v>0</v>
      </c>
      <c r="E12" s="202">
        <v>0</v>
      </c>
      <c r="F12" s="202">
        <v>0</v>
      </c>
      <c r="G12" s="202"/>
      <c r="H12" s="202"/>
      <c r="I12" s="202"/>
      <c r="J12" s="202"/>
      <c r="K12" s="202"/>
      <c r="L12" s="202"/>
      <c r="M12" s="202"/>
      <c r="N12" s="202"/>
      <c r="O12" s="202"/>
      <c r="P12" s="202"/>
      <c r="Q12" s="202"/>
      <c r="R12" s="202"/>
      <c r="S12" s="202">
        <v>45000</v>
      </c>
      <c r="Y12" s="8" t="s">
        <v>51</v>
      </c>
      <c r="Z12" s="219">
        <f t="shared" si="3"/>
        <v>3.8702992205733411E-3</v>
      </c>
    </row>
    <row r="13" spans="1:26" s="21" customFormat="1" ht="18.75" x14ac:dyDescent="0.3">
      <c r="A13" s="19" t="s">
        <v>14</v>
      </c>
      <c r="B13" s="20"/>
      <c r="C13" s="203">
        <f t="shared" si="2"/>
        <v>11627008</v>
      </c>
      <c r="D13" s="204">
        <f t="shared" ref="D13:I13" si="5">SUM(D6:D12)</f>
        <v>163251</v>
      </c>
      <c r="E13" s="204">
        <f t="shared" si="5"/>
        <v>1401081</v>
      </c>
      <c r="F13" s="204">
        <f t="shared" si="5"/>
        <v>1120054</v>
      </c>
      <c r="G13" s="204">
        <f>G12+G11+G10+G9+G8+G7+G6</f>
        <v>1074132</v>
      </c>
      <c r="H13" s="204">
        <f t="shared" si="5"/>
        <v>62215</v>
      </c>
      <c r="I13" s="204">
        <f t="shared" si="5"/>
        <v>265818</v>
      </c>
      <c r="J13" s="204">
        <f t="shared" ref="J13:S13" si="6">SUM(J6:J12)</f>
        <v>1594943</v>
      </c>
      <c r="K13" s="204">
        <f t="shared" si="6"/>
        <v>69830</v>
      </c>
      <c r="L13" s="204">
        <f t="shared" si="6"/>
        <v>1119762</v>
      </c>
      <c r="M13" s="204">
        <f t="shared" si="6"/>
        <v>79970</v>
      </c>
      <c r="N13" s="204">
        <f t="shared" si="6"/>
        <v>305476</v>
      </c>
      <c r="O13" s="204">
        <f t="shared" si="6"/>
        <v>1187828</v>
      </c>
      <c r="P13" s="204">
        <f t="shared" si="6"/>
        <v>106849</v>
      </c>
      <c r="Q13" s="204">
        <f t="shared" si="6"/>
        <v>318556</v>
      </c>
      <c r="R13" s="204">
        <f t="shared" si="6"/>
        <v>2604863</v>
      </c>
      <c r="S13" s="204">
        <f t="shared" si="6"/>
        <v>152380</v>
      </c>
      <c r="Z13" s="222">
        <f>SUM(Z6:Z12)</f>
        <v>1</v>
      </c>
    </row>
    <row r="14" spans="1:26" ht="18.75" x14ac:dyDescent="0.3">
      <c r="A14" s="22" t="s">
        <v>1</v>
      </c>
      <c r="B14" s="23" t="str">
        <f>A14</f>
        <v>Sueldos</v>
      </c>
      <c r="C14" s="206">
        <f t="shared" si="2"/>
        <v>685414</v>
      </c>
      <c r="D14" s="207">
        <v>35774</v>
      </c>
      <c r="E14" s="207">
        <v>38018</v>
      </c>
      <c r="F14" s="207">
        <v>38034</v>
      </c>
      <c r="G14" s="207">
        <v>35098</v>
      </c>
      <c r="H14" s="207">
        <v>37326</v>
      </c>
      <c r="I14" s="207">
        <v>38076</v>
      </c>
      <c r="J14" s="207">
        <v>38118</v>
      </c>
      <c r="K14" s="207">
        <v>41638</v>
      </c>
      <c r="L14" s="207">
        <f>K14</f>
        <v>41638</v>
      </c>
      <c r="M14" s="207">
        <v>41758</v>
      </c>
      <c r="N14" s="207">
        <v>41830</v>
      </c>
      <c r="O14" s="207">
        <v>46938</v>
      </c>
      <c r="P14" s="207">
        <v>53930</v>
      </c>
      <c r="Q14" s="207">
        <v>53260</v>
      </c>
      <c r="R14" s="207">
        <v>55192</v>
      </c>
      <c r="S14" s="207">
        <v>48786</v>
      </c>
      <c r="Y14" s="744">
        <f>C13</f>
        <v>11627008</v>
      </c>
      <c r="Z14" s="745"/>
    </row>
    <row r="15" spans="1:26" x14ac:dyDescent="0.25">
      <c r="A15" s="22" t="s">
        <v>29</v>
      </c>
      <c r="B15" s="23" t="str">
        <f>A15</f>
        <v xml:space="preserve">Mantenimiento </v>
      </c>
      <c r="C15" s="206">
        <f t="shared" si="2"/>
        <v>205240</v>
      </c>
      <c r="D15" s="207">
        <v>11292</v>
      </c>
      <c r="E15" s="207">
        <f>D15</f>
        <v>11292</v>
      </c>
      <c r="F15" s="207">
        <f t="shared" ref="F15:S15" si="7">E15</f>
        <v>11292</v>
      </c>
      <c r="G15" s="207">
        <f t="shared" si="7"/>
        <v>11292</v>
      </c>
      <c r="H15" s="207">
        <f t="shared" si="7"/>
        <v>11292</v>
      </c>
      <c r="I15" s="207">
        <v>12068</v>
      </c>
      <c r="J15" s="207">
        <f t="shared" si="7"/>
        <v>12068</v>
      </c>
      <c r="K15" s="207">
        <f t="shared" si="7"/>
        <v>12068</v>
      </c>
      <c r="L15" s="207">
        <v>14072</v>
      </c>
      <c r="M15" s="207">
        <f t="shared" si="7"/>
        <v>14072</v>
      </c>
      <c r="N15" s="207">
        <f t="shared" si="7"/>
        <v>14072</v>
      </c>
      <c r="O15" s="207">
        <f t="shared" si="7"/>
        <v>14072</v>
      </c>
      <c r="P15" s="207">
        <f t="shared" si="7"/>
        <v>14072</v>
      </c>
      <c r="Q15" s="207">
        <f>P15</f>
        <v>14072</v>
      </c>
      <c r="R15" s="207">
        <f t="shared" si="7"/>
        <v>14072</v>
      </c>
      <c r="S15" s="207">
        <f t="shared" si="7"/>
        <v>14072</v>
      </c>
    </row>
    <row r="16" spans="1:26" x14ac:dyDescent="0.25">
      <c r="A16" s="22" t="s">
        <v>4</v>
      </c>
      <c r="B16" s="23" t="s">
        <v>30</v>
      </c>
      <c r="C16" s="206">
        <f t="shared" si="2"/>
        <v>803415</v>
      </c>
      <c r="D16" s="207">
        <f>EconomiaT36!S16</f>
        <v>0</v>
      </c>
      <c r="E16" s="207">
        <f t="shared" ref="E16:S18" si="8">D16</f>
        <v>0</v>
      </c>
      <c r="F16" s="207">
        <f t="shared" si="8"/>
        <v>0</v>
      </c>
      <c r="G16" s="207">
        <v>83815</v>
      </c>
      <c r="H16" s="207">
        <v>0</v>
      </c>
      <c r="I16" s="207">
        <f t="shared" si="8"/>
        <v>0</v>
      </c>
      <c r="J16" s="207">
        <v>204055</v>
      </c>
      <c r="K16" s="207">
        <v>0</v>
      </c>
      <c r="L16" s="207">
        <f t="shared" si="8"/>
        <v>0</v>
      </c>
      <c r="M16" s="207">
        <f t="shared" si="8"/>
        <v>0</v>
      </c>
      <c r="N16" s="207">
        <f t="shared" si="8"/>
        <v>0</v>
      </c>
      <c r="O16" s="207">
        <f t="shared" si="8"/>
        <v>0</v>
      </c>
      <c r="P16" s="207">
        <f t="shared" si="8"/>
        <v>0</v>
      </c>
      <c r="Q16" s="207">
        <f t="shared" si="8"/>
        <v>0</v>
      </c>
      <c r="R16" s="207">
        <v>515545</v>
      </c>
      <c r="S16" s="207">
        <v>0</v>
      </c>
    </row>
    <row r="17" spans="1:26" x14ac:dyDescent="0.25">
      <c r="A17" s="22" t="s">
        <v>6</v>
      </c>
      <c r="B17" s="23" t="str">
        <f>A17</f>
        <v>Empleados</v>
      </c>
      <c r="C17" s="206">
        <f t="shared" si="2"/>
        <v>475200</v>
      </c>
      <c r="D17" s="207">
        <v>27000</v>
      </c>
      <c r="E17" s="207">
        <v>28800</v>
      </c>
      <c r="F17" s="207">
        <f t="shared" si="8"/>
        <v>28800</v>
      </c>
      <c r="G17" s="207">
        <f t="shared" si="8"/>
        <v>28800</v>
      </c>
      <c r="H17" s="207">
        <f t="shared" si="8"/>
        <v>28800</v>
      </c>
      <c r="I17" s="207">
        <v>30600</v>
      </c>
      <c r="J17" s="207">
        <f t="shared" si="8"/>
        <v>30600</v>
      </c>
      <c r="K17" s="207">
        <f t="shared" si="8"/>
        <v>30600</v>
      </c>
      <c r="L17" s="207">
        <f t="shared" si="8"/>
        <v>30600</v>
      </c>
      <c r="M17" s="207">
        <f t="shared" si="8"/>
        <v>30600</v>
      </c>
      <c r="N17" s="207">
        <f t="shared" si="8"/>
        <v>30600</v>
      </c>
      <c r="O17" s="207">
        <f t="shared" si="8"/>
        <v>30600</v>
      </c>
      <c r="P17" s="207">
        <f t="shared" si="8"/>
        <v>30600</v>
      </c>
      <c r="Q17" s="207">
        <f t="shared" si="8"/>
        <v>30600</v>
      </c>
      <c r="R17" s="207">
        <f t="shared" si="8"/>
        <v>30600</v>
      </c>
      <c r="S17" s="207">
        <v>27000</v>
      </c>
    </row>
    <row r="18" spans="1:26" x14ac:dyDescent="0.25">
      <c r="A18" s="22" t="s">
        <v>8</v>
      </c>
      <c r="B18" s="23" t="str">
        <f>A18</f>
        <v>Juveniles</v>
      </c>
      <c r="C18" s="206">
        <f t="shared" si="2"/>
        <v>320000</v>
      </c>
      <c r="D18" s="207">
        <f>EconomiaT36!S18</f>
        <v>20000</v>
      </c>
      <c r="E18" s="207">
        <f t="shared" si="8"/>
        <v>20000</v>
      </c>
      <c r="F18" s="207">
        <f t="shared" si="8"/>
        <v>20000</v>
      </c>
      <c r="G18" s="207">
        <f t="shared" si="8"/>
        <v>20000</v>
      </c>
      <c r="H18" s="207">
        <f t="shared" si="8"/>
        <v>20000</v>
      </c>
      <c r="I18" s="207">
        <f t="shared" si="8"/>
        <v>20000</v>
      </c>
      <c r="J18" s="207">
        <f t="shared" si="8"/>
        <v>20000</v>
      </c>
      <c r="K18" s="207">
        <f t="shared" si="8"/>
        <v>20000</v>
      </c>
      <c r="L18" s="207">
        <f t="shared" si="8"/>
        <v>20000</v>
      </c>
      <c r="M18" s="207">
        <f t="shared" si="8"/>
        <v>20000</v>
      </c>
      <c r="N18" s="207">
        <f t="shared" si="8"/>
        <v>20000</v>
      </c>
      <c r="O18" s="207">
        <f t="shared" si="8"/>
        <v>20000</v>
      </c>
      <c r="P18" s="207">
        <f t="shared" si="8"/>
        <v>20000</v>
      </c>
      <c r="Q18" s="207">
        <f t="shared" si="8"/>
        <v>20000</v>
      </c>
      <c r="R18" s="207">
        <f t="shared" si="8"/>
        <v>20000</v>
      </c>
      <c r="S18" s="207">
        <f t="shared" si="8"/>
        <v>20000</v>
      </c>
    </row>
    <row r="19" spans="1:26" x14ac:dyDescent="0.25">
      <c r="A19" s="22" t="s">
        <v>9</v>
      </c>
      <c r="B19" s="23" t="s">
        <v>50</v>
      </c>
      <c r="C19" s="206">
        <f t="shared" si="2"/>
        <v>9836123</v>
      </c>
      <c r="D19" s="207">
        <v>776884</v>
      </c>
      <c r="E19" s="207">
        <v>1191526</v>
      </c>
      <c r="F19" s="207">
        <v>1232498</v>
      </c>
      <c r="G19" s="207">
        <v>767305</v>
      </c>
      <c r="H19" s="207"/>
      <c r="I19" s="207"/>
      <c r="J19" s="207">
        <v>1431840</v>
      </c>
      <c r="K19" s="207"/>
      <c r="L19" s="207">
        <v>596995</v>
      </c>
      <c r="M19" s="207"/>
      <c r="N19" s="207">
        <v>559704</v>
      </c>
      <c r="O19" s="207">
        <v>945413</v>
      </c>
      <c r="P19" s="207"/>
      <c r="Q19" s="207"/>
      <c r="R19" s="207"/>
      <c r="S19" s="207">
        <v>2333958</v>
      </c>
    </row>
    <row r="20" spans="1:26" x14ac:dyDescent="0.25">
      <c r="A20" s="24" t="s">
        <v>7</v>
      </c>
      <c r="B20" s="23" t="s">
        <v>11</v>
      </c>
      <c r="C20" s="206">
        <f t="shared" si="2"/>
        <v>0</v>
      </c>
      <c r="D20" s="207">
        <v>0</v>
      </c>
      <c r="E20" s="207">
        <v>0</v>
      </c>
      <c r="F20" s="207">
        <v>0</v>
      </c>
      <c r="G20" s="207"/>
      <c r="H20" s="207"/>
      <c r="I20" s="207"/>
      <c r="J20" s="207"/>
      <c r="K20" s="207"/>
      <c r="L20" s="207"/>
      <c r="M20" s="207"/>
      <c r="N20" s="207"/>
      <c r="O20" s="207"/>
      <c r="P20" s="207"/>
      <c r="Q20" s="207"/>
      <c r="R20" s="207"/>
      <c r="S20" s="207"/>
    </row>
    <row r="21" spans="1:26" x14ac:dyDescent="0.25">
      <c r="A21" s="24"/>
      <c r="B21" s="23" t="s">
        <v>818</v>
      </c>
      <c r="C21" s="206">
        <f t="shared" si="2"/>
        <v>84600</v>
      </c>
      <c r="D21" s="208">
        <v>10000</v>
      </c>
      <c r="E21" s="208">
        <v>16000</v>
      </c>
      <c r="F21" s="208">
        <v>9000</v>
      </c>
      <c r="G21" s="208">
        <v>6000</v>
      </c>
      <c r="H21" s="208">
        <v>4000</v>
      </c>
      <c r="I21" s="208">
        <v>5000</v>
      </c>
      <c r="J21" s="208">
        <v>1000</v>
      </c>
      <c r="K21" s="208">
        <f>J21</f>
        <v>1000</v>
      </c>
      <c r="L21" s="208">
        <f>K21</f>
        <v>1000</v>
      </c>
      <c r="M21" s="208">
        <v>5000</v>
      </c>
      <c r="N21" s="208">
        <v>6000</v>
      </c>
      <c r="O21" s="208">
        <v>0</v>
      </c>
      <c r="P21" s="208">
        <v>2000</v>
      </c>
      <c r="Q21" s="208">
        <f>P21</f>
        <v>2000</v>
      </c>
      <c r="R21" s="208">
        <v>9600</v>
      </c>
      <c r="S21" s="208">
        <v>7000</v>
      </c>
    </row>
    <row r="22" spans="1:26" x14ac:dyDescent="0.25">
      <c r="A22" s="22" t="s">
        <v>10</v>
      </c>
      <c r="B22" s="23" t="str">
        <f>A22</f>
        <v>Intereses</v>
      </c>
      <c r="C22" s="206">
        <f t="shared" si="2"/>
        <v>0</v>
      </c>
      <c r="D22" s="207">
        <f>IF(D5&lt;0,D5*0.05,0)</f>
        <v>0</v>
      </c>
      <c r="E22" s="207">
        <f t="shared" ref="E22:S22" si="9">IF(E5&lt;0,E5*0.05,0)</f>
        <v>0</v>
      </c>
      <c r="F22" s="207">
        <f t="shared" si="9"/>
        <v>0</v>
      </c>
      <c r="G22" s="207">
        <f t="shared" si="9"/>
        <v>0</v>
      </c>
      <c r="H22" s="207">
        <f t="shared" si="9"/>
        <v>0</v>
      </c>
      <c r="I22" s="207">
        <f t="shared" si="9"/>
        <v>0</v>
      </c>
      <c r="J22" s="207">
        <f t="shared" si="9"/>
        <v>0</v>
      </c>
      <c r="K22" s="207">
        <f t="shared" si="9"/>
        <v>0</v>
      </c>
      <c r="L22" s="207">
        <f t="shared" si="9"/>
        <v>0</v>
      </c>
      <c r="M22" s="207">
        <f t="shared" si="9"/>
        <v>0</v>
      </c>
      <c r="N22" s="207">
        <f t="shared" si="9"/>
        <v>0</v>
      </c>
      <c r="O22" s="207">
        <f t="shared" si="9"/>
        <v>0</v>
      </c>
      <c r="P22" s="207">
        <f t="shared" si="9"/>
        <v>0</v>
      </c>
      <c r="Q22" s="207">
        <f t="shared" si="9"/>
        <v>0</v>
      </c>
      <c r="R22" s="207">
        <f t="shared" si="9"/>
        <v>0</v>
      </c>
      <c r="S22" s="207">
        <f t="shared" si="9"/>
        <v>0</v>
      </c>
    </row>
    <row r="23" spans="1:26" s="31" customFormat="1" ht="18.75" x14ac:dyDescent="0.3">
      <c r="A23" s="25" t="s">
        <v>15</v>
      </c>
      <c r="B23" s="26"/>
      <c r="C23" s="209">
        <f t="shared" si="2"/>
        <v>12409992</v>
      </c>
      <c r="D23" s="210">
        <f t="shared" ref="D23:I23" si="10">SUM(D14:D22)</f>
        <v>880950</v>
      </c>
      <c r="E23" s="210">
        <f t="shared" si="10"/>
        <v>1305636</v>
      </c>
      <c r="F23" s="210">
        <f t="shared" si="10"/>
        <v>1339624</v>
      </c>
      <c r="G23" s="210">
        <f t="shared" si="10"/>
        <v>952310</v>
      </c>
      <c r="H23" s="210">
        <f t="shared" si="10"/>
        <v>101418</v>
      </c>
      <c r="I23" s="210">
        <f t="shared" si="10"/>
        <v>105744</v>
      </c>
      <c r="J23" s="210">
        <f t="shared" ref="J23:S23" si="11">SUM(J14:J22)</f>
        <v>1737681</v>
      </c>
      <c r="K23" s="210">
        <f t="shared" si="11"/>
        <v>105306</v>
      </c>
      <c r="L23" s="210">
        <f t="shared" si="11"/>
        <v>704305</v>
      </c>
      <c r="M23" s="210">
        <f t="shared" si="11"/>
        <v>111430</v>
      </c>
      <c r="N23" s="210">
        <f t="shared" si="11"/>
        <v>672206</v>
      </c>
      <c r="O23" s="210">
        <f t="shared" si="11"/>
        <v>1057023</v>
      </c>
      <c r="P23" s="210">
        <f t="shared" si="11"/>
        <v>120602</v>
      </c>
      <c r="Q23" s="210">
        <f t="shared" si="11"/>
        <v>119932</v>
      </c>
      <c r="R23" s="210">
        <f t="shared" si="11"/>
        <v>645009</v>
      </c>
      <c r="S23" s="210">
        <f t="shared" si="11"/>
        <v>2450816</v>
      </c>
      <c r="Y23" s="23" t="s">
        <v>1</v>
      </c>
      <c r="Z23" s="220">
        <f>C14/$C$23</f>
        <v>5.5230817231791927E-2</v>
      </c>
    </row>
    <row r="24" spans="1:26" s="7" customFormat="1" ht="18.75" x14ac:dyDescent="0.3">
      <c r="A24" s="9" t="s">
        <v>20</v>
      </c>
      <c r="B24" s="9"/>
      <c r="C24" s="197">
        <f>C5+C13-C23</f>
        <v>111237</v>
      </c>
      <c r="D24" s="197">
        <f t="shared" ref="D24:S24" si="12">D5+D13-D23</f>
        <v>176522</v>
      </c>
      <c r="E24" s="197">
        <f t="shared" si="12"/>
        <v>271967</v>
      </c>
      <c r="F24" s="197">
        <f t="shared" si="12"/>
        <v>52397</v>
      </c>
      <c r="G24" s="197">
        <f t="shared" si="12"/>
        <v>174219</v>
      </c>
      <c r="H24" s="197">
        <f t="shared" si="12"/>
        <v>135016</v>
      </c>
      <c r="I24" s="197">
        <f t="shared" si="12"/>
        <v>295090</v>
      </c>
      <c r="J24" s="197">
        <f t="shared" si="12"/>
        <v>152352</v>
      </c>
      <c r="K24" s="197">
        <f t="shared" si="12"/>
        <v>116876</v>
      </c>
      <c r="L24" s="197">
        <f t="shared" si="12"/>
        <v>532333</v>
      </c>
      <c r="M24" s="197">
        <f t="shared" si="12"/>
        <v>500873</v>
      </c>
      <c r="N24" s="197">
        <f t="shared" si="12"/>
        <v>134143</v>
      </c>
      <c r="O24" s="197">
        <f t="shared" si="12"/>
        <v>264948</v>
      </c>
      <c r="P24" s="197">
        <f t="shared" si="12"/>
        <v>251195</v>
      </c>
      <c r="Q24" s="197">
        <f t="shared" si="12"/>
        <v>449819</v>
      </c>
      <c r="R24" s="197">
        <f t="shared" si="12"/>
        <v>2409673</v>
      </c>
      <c r="S24" s="197">
        <f t="shared" si="12"/>
        <v>111237</v>
      </c>
      <c r="Y24" s="23" t="s">
        <v>29</v>
      </c>
      <c r="Z24" s="220">
        <f t="shared" ref="Z24:Z31" si="13">C15/$C$23</f>
        <v>1.6538286245470584E-2</v>
      </c>
    </row>
    <row r="25" spans="1:26" s="178" customFormat="1" x14ac:dyDescent="0.25">
      <c r="A25" s="182"/>
      <c r="B25" s="182"/>
      <c r="C25" s="182"/>
      <c r="D25" s="183">
        <f>D2+6</f>
        <v>41075</v>
      </c>
      <c r="E25" s="183">
        <f>D25+7</f>
        <v>41082</v>
      </c>
      <c r="F25" s="183">
        <f t="shared" ref="F25:S25" si="14">E25+7</f>
        <v>41089</v>
      </c>
      <c r="G25" s="183">
        <f t="shared" si="14"/>
        <v>41096</v>
      </c>
      <c r="H25" s="183">
        <f t="shared" si="14"/>
        <v>41103</v>
      </c>
      <c r="I25" s="183">
        <f t="shared" si="14"/>
        <v>41110</v>
      </c>
      <c r="J25" s="183">
        <f t="shared" si="14"/>
        <v>41117</v>
      </c>
      <c r="K25" s="183">
        <f t="shared" si="14"/>
        <v>41124</v>
      </c>
      <c r="L25" s="184">
        <f t="shared" si="14"/>
        <v>41131</v>
      </c>
      <c r="M25" s="183">
        <f t="shared" si="14"/>
        <v>41138</v>
      </c>
      <c r="N25" s="183">
        <f t="shared" si="14"/>
        <v>41145</v>
      </c>
      <c r="O25" s="183">
        <f t="shared" si="14"/>
        <v>41152</v>
      </c>
      <c r="P25" s="183">
        <f t="shared" si="14"/>
        <v>41159</v>
      </c>
      <c r="Q25" s="183">
        <f t="shared" si="14"/>
        <v>41166</v>
      </c>
      <c r="R25" s="183">
        <f t="shared" si="14"/>
        <v>41173</v>
      </c>
      <c r="S25" s="183">
        <f t="shared" si="14"/>
        <v>41180</v>
      </c>
      <c r="Y25" s="23" t="s">
        <v>30</v>
      </c>
      <c r="Z25" s="220">
        <f t="shared" si="13"/>
        <v>6.473936486018686E-2</v>
      </c>
    </row>
    <row r="26" spans="1:26" s="178" customFormat="1" x14ac:dyDescent="0.25">
      <c r="A26" s="732" t="s">
        <v>942</v>
      </c>
      <c r="B26" s="732"/>
      <c r="C26" s="223">
        <f>C6+C7+C11</f>
        <v>2444733</v>
      </c>
      <c r="D26" s="223">
        <f t="shared" ref="D26:S26" si="15">D6+D7+D11</f>
        <v>163251</v>
      </c>
      <c r="E26" s="223">
        <f t="shared" si="15"/>
        <v>202199</v>
      </c>
      <c r="F26" s="223">
        <f t="shared" si="15"/>
        <v>61405</v>
      </c>
      <c r="G26" s="223">
        <f t="shared" si="15"/>
        <v>226063</v>
      </c>
      <c r="H26" s="223">
        <f t="shared" si="15"/>
        <v>60200</v>
      </c>
      <c r="I26" s="223">
        <f t="shared" si="15"/>
        <v>62045</v>
      </c>
      <c r="J26" s="223">
        <f t="shared" si="15"/>
        <v>249290</v>
      </c>
      <c r="K26" s="223">
        <f t="shared" si="15"/>
        <v>64130</v>
      </c>
      <c r="L26" s="223">
        <f t="shared" si="15"/>
        <v>240809</v>
      </c>
      <c r="M26" s="223">
        <f t="shared" si="15"/>
        <v>65720</v>
      </c>
      <c r="N26" s="223">
        <f t="shared" si="15"/>
        <v>247526</v>
      </c>
      <c r="O26" s="223">
        <f t="shared" si="15"/>
        <v>284350</v>
      </c>
      <c r="P26" s="223">
        <f t="shared" si="15"/>
        <v>67551</v>
      </c>
      <c r="Q26" s="223">
        <f t="shared" si="15"/>
        <v>276556</v>
      </c>
      <c r="R26" s="223">
        <f t="shared" si="15"/>
        <v>69203</v>
      </c>
      <c r="S26" s="223">
        <f t="shared" si="15"/>
        <v>104435</v>
      </c>
      <c r="T26" s="194"/>
      <c r="Y26" s="23" t="s">
        <v>6</v>
      </c>
      <c r="Z26" s="220">
        <f t="shared" si="13"/>
        <v>3.8291724926172395E-2</v>
      </c>
    </row>
    <row r="27" spans="1:26" s="178" customFormat="1" x14ac:dyDescent="0.25">
      <c r="A27" s="733" t="s">
        <v>943</v>
      </c>
      <c r="B27" s="733"/>
      <c r="C27" s="224">
        <f>C14+C15+C17+C18+C21</f>
        <v>1770454</v>
      </c>
      <c r="D27" s="224">
        <f t="shared" ref="D27:S27" si="16">D14+D15+D17+D18+D21</f>
        <v>104066</v>
      </c>
      <c r="E27" s="224">
        <f t="shared" si="16"/>
        <v>114110</v>
      </c>
      <c r="F27" s="224">
        <f t="shared" si="16"/>
        <v>107126</v>
      </c>
      <c r="G27" s="224">
        <f t="shared" si="16"/>
        <v>101190</v>
      </c>
      <c r="H27" s="224">
        <f t="shared" si="16"/>
        <v>101418</v>
      </c>
      <c r="I27" s="224">
        <f t="shared" si="16"/>
        <v>105744</v>
      </c>
      <c r="J27" s="224">
        <f t="shared" si="16"/>
        <v>101786</v>
      </c>
      <c r="K27" s="224">
        <f t="shared" si="16"/>
        <v>105306</v>
      </c>
      <c r="L27" s="224">
        <f t="shared" si="16"/>
        <v>107310</v>
      </c>
      <c r="M27" s="224">
        <f t="shared" si="16"/>
        <v>111430</v>
      </c>
      <c r="N27" s="224">
        <f t="shared" si="16"/>
        <v>112502</v>
      </c>
      <c r="O27" s="224">
        <f t="shared" si="16"/>
        <v>111610</v>
      </c>
      <c r="P27" s="224">
        <f t="shared" si="16"/>
        <v>120602</v>
      </c>
      <c r="Q27" s="224">
        <f t="shared" si="16"/>
        <v>119932</v>
      </c>
      <c r="R27" s="224">
        <f t="shared" si="16"/>
        <v>129464</v>
      </c>
      <c r="S27" s="224">
        <f t="shared" si="16"/>
        <v>116858</v>
      </c>
      <c r="T27" s="195"/>
      <c r="Y27" s="23" t="s">
        <v>8</v>
      </c>
      <c r="Z27" s="220">
        <f t="shared" si="13"/>
        <v>2.5785673350957841E-2</v>
      </c>
    </row>
    <row r="28" spans="1:26" x14ac:dyDescent="0.25">
      <c r="A28" s="734" t="s">
        <v>944</v>
      </c>
      <c r="B28" s="734"/>
      <c r="C28" s="212">
        <f>C26-C27</f>
        <v>674279</v>
      </c>
      <c r="D28" s="212">
        <f t="shared" ref="D28:S28" si="17">D26-D27</f>
        <v>59185</v>
      </c>
      <c r="E28" s="212">
        <f t="shared" si="17"/>
        <v>88089</v>
      </c>
      <c r="F28" s="212">
        <f t="shared" si="17"/>
        <v>-45721</v>
      </c>
      <c r="G28" s="212">
        <f t="shared" si="17"/>
        <v>124873</v>
      </c>
      <c r="H28" s="212">
        <f t="shared" si="17"/>
        <v>-41218</v>
      </c>
      <c r="I28" s="212">
        <f t="shared" si="17"/>
        <v>-43699</v>
      </c>
      <c r="J28" s="212">
        <f t="shared" si="17"/>
        <v>147504</v>
      </c>
      <c r="K28" s="212">
        <f t="shared" si="17"/>
        <v>-41176</v>
      </c>
      <c r="L28" s="212">
        <f t="shared" si="17"/>
        <v>133499</v>
      </c>
      <c r="M28" s="212">
        <f t="shared" si="17"/>
        <v>-45710</v>
      </c>
      <c r="N28" s="212">
        <f t="shared" si="17"/>
        <v>135024</v>
      </c>
      <c r="O28" s="212">
        <f t="shared" si="17"/>
        <v>172740</v>
      </c>
      <c r="P28" s="212">
        <f t="shared" si="17"/>
        <v>-53051</v>
      </c>
      <c r="Q28" s="212">
        <f t="shared" si="17"/>
        <v>156624</v>
      </c>
      <c r="R28" s="212">
        <f t="shared" si="17"/>
        <v>-60261</v>
      </c>
      <c r="S28" s="212">
        <f t="shared" si="17"/>
        <v>-12423</v>
      </c>
      <c r="T28" s="192"/>
      <c r="Y28" s="23" t="s">
        <v>50</v>
      </c>
      <c r="Z28" s="220">
        <f t="shared" si="13"/>
        <v>0.79259704599326086</v>
      </c>
    </row>
    <row r="29" spans="1:26" x14ac:dyDescent="0.25">
      <c r="A29" s="732" t="s">
        <v>945</v>
      </c>
      <c r="B29" s="732"/>
      <c r="C29" s="223">
        <f>C8+C9+C10+C12</f>
        <v>9182275</v>
      </c>
      <c r="D29" s="223">
        <f t="shared" ref="D29:S29" si="18">D8+D9+D10+D12</f>
        <v>0</v>
      </c>
      <c r="E29" s="223">
        <f t="shared" si="18"/>
        <v>1198882</v>
      </c>
      <c r="F29" s="223">
        <f t="shared" si="18"/>
        <v>1058649</v>
      </c>
      <c r="G29" s="223">
        <f t="shared" si="18"/>
        <v>848069</v>
      </c>
      <c r="H29" s="223">
        <f t="shared" si="18"/>
        <v>2015</v>
      </c>
      <c r="I29" s="223">
        <f t="shared" si="18"/>
        <v>203773</v>
      </c>
      <c r="J29" s="223">
        <f t="shared" si="18"/>
        <v>1345653</v>
      </c>
      <c r="K29" s="223">
        <f t="shared" si="18"/>
        <v>5700</v>
      </c>
      <c r="L29" s="223">
        <f t="shared" si="18"/>
        <v>878953</v>
      </c>
      <c r="M29" s="223">
        <f t="shared" si="18"/>
        <v>14250</v>
      </c>
      <c r="N29" s="223">
        <f t="shared" si="18"/>
        <v>57950</v>
      </c>
      <c r="O29" s="223">
        <f t="shared" si="18"/>
        <v>903478</v>
      </c>
      <c r="P29" s="223">
        <f t="shared" si="18"/>
        <v>39298</v>
      </c>
      <c r="Q29" s="223">
        <f t="shared" si="18"/>
        <v>42000</v>
      </c>
      <c r="R29" s="223">
        <f t="shared" si="18"/>
        <v>2535660</v>
      </c>
      <c r="S29" s="223">
        <f t="shared" si="18"/>
        <v>47945</v>
      </c>
      <c r="T29" s="192"/>
      <c r="Y29" s="23" t="s">
        <v>11</v>
      </c>
      <c r="Z29" s="220">
        <f t="shared" si="13"/>
        <v>0</v>
      </c>
    </row>
    <row r="30" spans="1:26" s="6" customFormat="1" x14ac:dyDescent="0.25">
      <c r="A30" s="733" t="s">
        <v>946</v>
      </c>
      <c r="B30" s="733"/>
      <c r="C30" s="224">
        <f>C16+C19+C20+C22</f>
        <v>10639538</v>
      </c>
      <c r="D30" s="224">
        <f t="shared" ref="D30:S30" si="19">D16+D19+D20+D22</f>
        <v>776884</v>
      </c>
      <c r="E30" s="224">
        <f t="shared" si="19"/>
        <v>1191526</v>
      </c>
      <c r="F30" s="224">
        <f t="shared" si="19"/>
        <v>1232498</v>
      </c>
      <c r="G30" s="224">
        <f t="shared" si="19"/>
        <v>851120</v>
      </c>
      <c r="H30" s="224">
        <f t="shared" si="19"/>
        <v>0</v>
      </c>
      <c r="I30" s="224">
        <f t="shared" si="19"/>
        <v>0</v>
      </c>
      <c r="J30" s="224">
        <f t="shared" si="19"/>
        <v>1635895</v>
      </c>
      <c r="K30" s="224">
        <f t="shared" si="19"/>
        <v>0</v>
      </c>
      <c r="L30" s="224">
        <f t="shared" si="19"/>
        <v>596995</v>
      </c>
      <c r="M30" s="224">
        <f t="shared" si="19"/>
        <v>0</v>
      </c>
      <c r="N30" s="224">
        <f t="shared" si="19"/>
        <v>559704</v>
      </c>
      <c r="O30" s="224">
        <f t="shared" si="19"/>
        <v>945413</v>
      </c>
      <c r="P30" s="224">
        <f t="shared" si="19"/>
        <v>0</v>
      </c>
      <c r="Q30" s="224">
        <f t="shared" si="19"/>
        <v>0</v>
      </c>
      <c r="R30" s="224">
        <f t="shared" si="19"/>
        <v>515545</v>
      </c>
      <c r="S30" s="224">
        <f t="shared" si="19"/>
        <v>2333958</v>
      </c>
      <c r="Y30" s="23" t="s">
        <v>818</v>
      </c>
      <c r="Z30" s="220">
        <f t="shared" si="13"/>
        <v>6.8170873921594788E-3</v>
      </c>
    </row>
    <row r="31" spans="1:26" s="6" customFormat="1" x14ac:dyDescent="0.25">
      <c r="A31" s="734" t="s">
        <v>947</v>
      </c>
      <c r="B31" s="734"/>
      <c r="C31" s="212">
        <f>C29-C30</f>
        <v>-1457263</v>
      </c>
      <c r="D31" s="212">
        <f t="shared" ref="D31:S31" si="20">D29-D30</f>
        <v>-776884</v>
      </c>
      <c r="E31" s="212">
        <f t="shared" si="20"/>
        <v>7356</v>
      </c>
      <c r="F31" s="212">
        <f t="shared" si="20"/>
        <v>-173849</v>
      </c>
      <c r="G31" s="212">
        <f t="shared" si="20"/>
        <v>-3051</v>
      </c>
      <c r="H31" s="212">
        <f t="shared" si="20"/>
        <v>2015</v>
      </c>
      <c r="I31" s="212">
        <f t="shared" si="20"/>
        <v>203773</v>
      </c>
      <c r="J31" s="212">
        <f t="shared" si="20"/>
        <v>-290242</v>
      </c>
      <c r="K31" s="212">
        <f t="shared" si="20"/>
        <v>5700</v>
      </c>
      <c r="L31" s="212">
        <f t="shared" si="20"/>
        <v>281958</v>
      </c>
      <c r="M31" s="212">
        <f t="shared" si="20"/>
        <v>14250</v>
      </c>
      <c r="N31" s="212">
        <f t="shared" si="20"/>
        <v>-501754</v>
      </c>
      <c r="O31" s="212">
        <f t="shared" si="20"/>
        <v>-41935</v>
      </c>
      <c r="P31" s="212">
        <f t="shared" si="20"/>
        <v>39298</v>
      </c>
      <c r="Q31" s="212">
        <f t="shared" si="20"/>
        <v>42000</v>
      </c>
      <c r="R31" s="212">
        <f t="shared" si="20"/>
        <v>2020115</v>
      </c>
      <c r="S31" s="212">
        <f t="shared" si="20"/>
        <v>-2286013</v>
      </c>
      <c r="Y31" s="23" t="s">
        <v>10</v>
      </c>
      <c r="Z31" s="220">
        <f t="shared" si="13"/>
        <v>0</v>
      </c>
    </row>
    <row r="32" spans="1:26" s="6" customFormat="1" ht="18.75" x14ac:dyDescent="0.3">
      <c r="A32" s="192"/>
      <c r="B32" s="192"/>
      <c r="C32" s="192"/>
      <c r="D32" s="192"/>
      <c r="E32" s="192"/>
      <c r="F32" s="192"/>
      <c r="G32" s="192"/>
      <c r="H32" s="192"/>
      <c r="I32" s="192"/>
      <c r="J32" s="192"/>
      <c r="K32" s="192"/>
      <c r="L32" s="192"/>
      <c r="M32" s="192"/>
      <c r="N32" s="192"/>
      <c r="O32" s="192"/>
      <c r="P32" s="192"/>
      <c r="Q32" s="192"/>
      <c r="R32" s="192"/>
      <c r="S32" s="192"/>
      <c r="Z32" s="221">
        <f>SUM(Z23:Z31)</f>
        <v>0.99999999999999989</v>
      </c>
    </row>
    <row r="33" spans="1:26" s="6" customFormat="1" ht="18.75" x14ac:dyDescent="0.3">
      <c r="A33" s="27"/>
      <c r="B33" s="748" t="s">
        <v>821</v>
      </c>
      <c r="C33" s="167" t="s">
        <v>819</v>
      </c>
      <c r="D33" s="189">
        <f>'A-P_T37'!$C$13-'A-P_T37'!K34+'A-P_T37'!K26</f>
        <v>3556601</v>
      </c>
      <c r="E33" s="189">
        <v>3201715</v>
      </c>
      <c r="F33" s="189">
        <v>3144115</v>
      </c>
      <c r="G33" s="189">
        <v>3707114</v>
      </c>
      <c r="H33" s="189">
        <v>3707114</v>
      </c>
      <c r="I33" s="189">
        <v>3651113</v>
      </c>
      <c r="J33" s="189">
        <v>3651113</v>
      </c>
      <c r="K33" s="189">
        <v>3651113</v>
      </c>
      <c r="L33" s="189">
        <v>3651113</v>
      </c>
      <c r="M33" s="189">
        <v>3651113</v>
      </c>
      <c r="N33" s="189">
        <v>4174223</v>
      </c>
      <c r="O33" s="189">
        <v>4609223</v>
      </c>
      <c r="P33" s="189">
        <v>4609223</v>
      </c>
      <c r="Q33" s="189">
        <v>4609223</v>
      </c>
      <c r="R33" s="189">
        <v>3179112</v>
      </c>
      <c r="S33" s="189">
        <v>4054112</v>
      </c>
      <c r="Y33" s="746">
        <f>C23</f>
        <v>12409992</v>
      </c>
      <c r="Z33" s="747"/>
    </row>
    <row r="34" spans="1:26" x14ac:dyDescent="0.25">
      <c r="A34" s="27"/>
      <c r="B34" s="748"/>
      <c r="C34" s="167" t="s">
        <v>481</v>
      </c>
      <c r="D34" s="189">
        <f ca="1">'A-P_T37'!$C$12-'A-P_T37'!K5-'A-P_T37'!K7-'A-P_T37'!K12</f>
        <v>5708112</v>
      </c>
      <c r="E34" s="189">
        <v>3155113</v>
      </c>
      <c r="F34" s="189">
        <v>4136113</v>
      </c>
      <c r="G34" s="189">
        <v>3966114</v>
      </c>
      <c r="H34" s="189">
        <v>3966114</v>
      </c>
      <c r="I34" s="189">
        <v>3966114</v>
      </c>
      <c r="J34" s="189">
        <v>4275114</v>
      </c>
      <c r="K34" s="189">
        <v>4275114</v>
      </c>
      <c r="L34" s="189">
        <v>4275114</v>
      </c>
      <c r="M34" s="189">
        <v>4275114</v>
      </c>
      <c r="N34" s="189">
        <v>4830114</v>
      </c>
      <c r="O34" s="189">
        <v>4553835</v>
      </c>
      <c r="P34" s="189">
        <v>4551835</v>
      </c>
      <c r="Q34" s="189">
        <v>4551835</v>
      </c>
      <c r="R34" s="189">
        <v>4551835</v>
      </c>
      <c r="S34" s="189">
        <v>6001835</v>
      </c>
    </row>
    <row r="35" spans="1:26" x14ac:dyDescent="0.25">
      <c r="A35" s="27"/>
      <c r="B35" s="748"/>
      <c r="C35" s="167" t="s">
        <v>997</v>
      </c>
      <c r="D35" s="189">
        <v>150004</v>
      </c>
      <c r="E35" s="189">
        <v>120004</v>
      </c>
      <c r="F35" s="189">
        <v>30001</v>
      </c>
      <c r="G35" s="189">
        <v>0</v>
      </c>
      <c r="H35" s="189">
        <v>0</v>
      </c>
      <c r="I35" s="189">
        <v>0</v>
      </c>
      <c r="J35" s="189">
        <v>0</v>
      </c>
      <c r="K35" s="189">
        <v>0</v>
      </c>
      <c r="L35" s="189">
        <v>0</v>
      </c>
      <c r="M35" s="189">
        <v>0</v>
      </c>
      <c r="N35" s="189">
        <v>0</v>
      </c>
      <c r="O35" s="189">
        <v>0</v>
      </c>
      <c r="P35" s="189">
        <v>0</v>
      </c>
      <c r="Q35" s="189">
        <v>0</v>
      </c>
      <c r="R35" s="189">
        <v>0</v>
      </c>
      <c r="S35" s="189">
        <v>0</v>
      </c>
    </row>
    <row r="36" spans="1:26" x14ac:dyDescent="0.25">
      <c r="A36" s="27"/>
      <c r="B36" s="748"/>
      <c r="C36" s="299" t="s">
        <v>291</v>
      </c>
      <c r="D36" s="300">
        <f ca="1">D35+D34+D33</f>
        <v>9414717</v>
      </c>
      <c r="E36" s="300">
        <v>6476832</v>
      </c>
      <c r="F36" s="300">
        <v>7310229</v>
      </c>
      <c r="G36" s="300">
        <v>7673228</v>
      </c>
      <c r="H36" s="300">
        <v>7673228</v>
      </c>
      <c r="I36" s="300">
        <v>7617227</v>
      </c>
      <c r="J36" s="300">
        <v>7926227</v>
      </c>
      <c r="K36" s="300">
        <v>7926227</v>
      </c>
      <c r="L36" s="300">
        <v>7926227</v>
      </c>
      <c r="M36" s="300">
        <v>7926227</v>
      </c>
      <c r="N36" s="300">
        <v>9004337</v>
      </c>
      <c r="O36" s="300">
        <f>O35+O34+O33</f>
        <v>9163058</v>
      </c>
      <c r="P36" s="300">
        <f>P35+P34+P33</f>
        <v>9161058</v>
      </c>
      <c r="Q36" s="300">
        <f>Q35+Q34+Q33</f>
        <v>9161058</v>
      </c>
      <c r="R36" s="300">
        <f>R35+R34+R33</f>
        <v>7730947</v>
      </c>
      <c r="S36" s="300">
        <f>S35+S34+S33</f>
        <v>10055947</v>
      </c>
    </row>
    <row r="37" spans="1:26" x14ac:dyDescent="0.25">
      <c r="C37" s="192"/>
      <c r="J37"/>
      <c r="K37"/>
    </row>
    <row r="38" spans="1:26" x14ac:dyDescent="0.25">
      <c r="H38" s="213"/>
      <c r="I38" s="213"/>
      <c r="J38"/>
      <c r="K38"/>
      <c r="O38" s="332"/>
      <c r="P38" s="332"/>
      <c r="Q38" s="332"/>
      <c r="R38" s="332"/>
      <c r="S38" s="332"/>
    </row>
    <row r="39" spans="1:26" ht="15" customHeight="1" x14ac:dyDescent="0.25">
      <c r="H39" s="213"/>
      <c r="I39" s="18"/>
      <c r="J39"/>
      <c r="K39"/>
    </row>
    <row r="40" spans="1:26" ht="15" customHeight="1" x14ac:dyDescent="0.25">
      <c r="H40" s="731"/>
      <c r="I40" s="731"/>
      <c r="J40" s="731"/>
      <c r="K40" s="731"/>
    </row>
    <row r="41" spans="1:26" x14ac:dyDescent="0.25">
      <c r="H41" s="213"/>
      <c r="I41" s="213"/>
      <c r="J41" s="213"/>
      <c r="K41" s="213"/>
    </row>
    <row r="42" spans="1:26" x14ac:dyDescent="0.25">
      <c r="H42" s="213"/>
      <c r="I42" s="213"/>
      <c r="J42" s="213"/>
      <c r="K42" s="213"/>
    </row>
    <row r="43" spans="1:26" x14ac:dyDescent="0.25">
      <c r="H43" s="213"/>
      <c r="I43" s="213"/>
      <c r="J43" s="213"/>
      <c r="K43" s="213"/>
    </row>
    <row r="44" spans="1:26" x14ac:dyDescent="0.25">
      <c r="H44" s="213"/>
      <c r="I44" s="213"/>
      <c r="J44" s="213"/>
      <c r="K44" s="213"/>
    </row>
    <row r="45" spans="1:26" x14ac:dyDescent="0.25">
      <c r="H45" s="213"/>
      <c r="I45" s="213"/>
      <c r="J45" s="213"/>
      <c r="K45" s="213"/>
    </row>
    <row r="46" spans="1:26" x14ac:dyDescent="0.25">
      <c r="H46" s="213"/>
      <c r="I46" s="213"/>
      <c r="J46" s="213"/>
      <c r="K46" s="213"/>
    </row>
    <row r="47" spans="1:26" x14ac:dyDescent="0.25">
      <c r="H47" s="213"/>
      <c r="I47" s="213"/>
      <c r="J47" s="213"/>
      <c r="K47" s="213"/>
    </row>
    <row r="48" spans="1:26" x14ac:dyDescent="0.25">
      <c r="H48" s="213"/>
      <c r="I48" s="213"/>
      <c r="J48" s="213"/>
      <c r="K48" s="213"/>
    </row>
    <row r="49" spans="8:11" x14ac:dyDescent="0.25">
      <c r="H49" s="727"/>
      <c r="I49" s="727"/>
      <c r="J49" s="727"/>
      <c r="K49" s="727"/>
    </row>
    <row r="50" spans="8:11" x14ac:dyDescent="0.25">
      <c r="H50" s="213"/>
      <c r="I50" s="213"/>
      <c r="J50" s="213"/>
      <c r="K50" s="213"/>
    </row>
    <row r="51" spans="8:11" x14ac:dyDescent="0.25">
      <c r="H51" s="727"/>
      <c r="I51" s="727"/>
      <c r="J51" s="727"/>
      <c r="K51" s="727"/>
    </row>
    <row r="52" spans="8:11" ht="15" customHeight="1" x14ac:dyDescent="0.25">
      <c r="H52" s="727"/>
      <c r="I52" s="727"/>
      <c r="J52" s="727"/>
      <c r="K52" s="4"/>
    </row>
  </sheetData>
  <mergeCells count="15">
    <mergeCell ref="H52:J52"/>
    <mergeCell ref="A11:A12"/>
    <mergeCell ref="A26:B26"/>
    <mergeCell ref="A27:B27"/>
    <mergeCell ref="A28:B28"/>
    <mergeCell ref="H40:I40"/>
    <mergeCell ref="A29:B29"/>
    <mergeCell ref="A30:B30"/>
    <mergeCell ref="A31:B31"/>
    <mergeCell ref="B33:B36"/>
    <mergeCell ref="Y14:Z14"/>
    <mergeCell ref="Y33:Z33"/>
    <mergeCell ref="J40:K40"/>
    <mergeCell ref="H49:K49"/>
    <mergeCell ref="H51:K51"/>
  </mergeCells>
  <pageMargins left="0.7" right="0.7" top="0.75" bottom="0.75" header="0.3" footer="0.3"/>
  <pageSetup paperSize="9" orientation="portrait" horizontalDpi="200" verticalDpi="2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68</vt:i4>
      </vt:variant>
    </vt:vector>
  </HeadingPairs>
  <TitlesOfParts>
    <vt:vector size="68" baseType="lpstr">
      <vt:lpstr>Califica_POS_&lt;T60</vt:lpstr>
      <vt:lpstr>Califica_POS_T60</vt:lpstr>
      <vt:lpstr>Calificaciones</vt:lpstr>
      <vt:lpstr>Aportaciones</vt:lpstr>
      <vt:lpstr>Posessión</vt:lpstr>
      <vt:lpstr>Lliga-Copa</vt:lpstr>
      <vt:lpstr>EconomiaT36</vt:lpstr>
      <vt:lpstr>A-P_T36</vt:lpstr>
      <vt:lpstr>EconomiaT37</vt:lpstr>
      <vt:lpstr>A-P_T37</vt:lpstr>
      <vt:lpstr>EconomiaT38</vt:lpstr>
      <vt:lpstr>A-P_T38</vt:lpstr>
      <vt:lpstr>EconomiaT39</vt:lpstr>
      <vt:lpstr>A-P_T39</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EconomiaT51</vt:lpstr>
      <vt:lpstr>A-P_T51</vt:lpstr>
      <vt:lpstr>Logros</vt:lpstr>
      <vt:lpstr>Aficion_Patro</vt:lpstr>
      <vt:lpstr>Des_Estadio</vt:lpstr>
      <vt:lpstr>Inv_estadio</vt:lpstr>
      <vt:lpstr>inca11</vt:lpstr>
      <vt:lpstr>CANTERA</vt:lpstr>
      <vt:lpstr>Lesion</vt:lpstr>
      <vt:lpstr>BP</vt:lpstr>
      <vt:lpstr>EvaluacionJugadores</vt:lpstr>
      <vt:lpstr>Entreno_Barbecho</vt:lpstr>
      <vt:lpstr>Portero</vt:lpstr>
      <vt:lpstr>Resistencia</vt:lpstr>
      <vt:lpstr>Denomin_Forma</vt:lpstr>
      <vt:lpstr>EEspeciales</vt:lpstr>
      <vt:lpstr>EEspecials_Manual</vt:lpstr>
      <vt:lpstr>Fidelidad</vt:lpstr>
      <vt:lpstr>Confianza_espiritu</vt:lpstr>
      <vt:lpstr>Sustituciones</vt:lpstr>
      <vt:lpstr>Pullback_Logros_confusionForm</vt:lpstr>
      <vt:lpstr>CosteNuevoEntrenador</vt:lpstr>
      <vt:lpstr>Entrenador</vt:lpstr>
      <vt:lpstr>TARJETAS</vt:lpstr>
      <vt:lpstr>XP</vt:lpstr>
      <vt:lpstr>Salarios_escuelaErcanto</vt:lpstr>
      <vt:lpstr>Federacion</vt:lpstr>
      <vt:lpstr>TACTICAS</vt:lpstr>
      <vt:lpstr>NivelMedioJuvenil</vt:lpstr>
      <vt:lpstr>Bajar%Entrenamiento</vt:lpstr>
      <vt:lpstr>Aficionados</vt:lpstr>
      <vt:lpstr>EstadisticaEntreno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2017-11-16T14:07:52Z</dcterms:modified>
</cp:coreProperties>
</file>