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HT\"/>
    </mc:Choice>
  </mc:AlternateContent>
  <bookViews>
    <workbookView xWindow="0" yWindow="0" windowWidth="20490" windowHeight="7755"/>
  </bookViews>
  <sheets>
    <sheet name="PLANNING_FINAL" sheetId="10" r:id="rId1"/>
    <sheet name="Aportacion" sheetId="2" r:id="rId2"/>
    <sheet name="PLANTILLA" sheetId="1" r:id="rId3"/>
    <sheet name="Planning" sheetId="5" r:id="rId4"/>
    <sheet name="PLANTILLA_v2" sheetId="8" r:id="rId5"/>
    <sheet name="Planning_v2" sheetId="9" r:id="rId6"/>
    <sheet name="IDEAS" sheetId="4" r:id="rId7"/>
    <sheet name="StepLATERAL" sheetId="6" r:id="rId8"/>
    <sheet name="MercadoPORTEROS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82" i="10" l="1"/>
  <c r="AF81" i="10"/>
  <c r="AF80" i="10"/>
  <c r="AF79" i="10"/>
  <c r="AF78" i="10"/>
  <c r="AF76" i="10"/>
  <c r="AF77" i="10"/>
  <c r="AF75" i="10"/>
  <c r="AF72" i="10"/>
  <c r="AF73" i="10"/>
  <c r="AF74" i="10"/>
  <c r="AF71" i="10"/>
  <c r="AF69" i="10"/>
  <c r="AF70" i="10"/>
  <c r="AF68" i="10"/>
  <c r="AF67" i="10"/>
  <c r="AE82" i="10"/>
  <c r="AE81" i="10"/>
  <c r="AE80" i="10"/>
  <c r="AE79" i="10"/>
  <c r="AE67" i="10"/>
  <c r="AM68" i="10"/>
  <c r="AM69" i="10"/>
  <c r="AM70" i="10"/>
  <c r="AM71" i="10"/>
  <c r="AM72" i="10"/>
  <c r="AM73" i="10"/>
  <c r="AM74" i="10"/>
  <c r="AM75" i="10"/>
  <c r="AM76" i="10"/>
  <c r="AM77" i="10"/>
  <c r="AM78" i="10"/>
  <c r="AM79" i="10"/>
  <c r="AM80" i="10"/>
  <c r="AM81" i="10"/>
  <c r="AM82" i="10"/>
  <c r="AM67" i="10"/>
  <c r="W69" i="10"/>
  <c r="X69" i="10"/>
  <c r="W70" i="10"/>
  <c r="X70" i="10"/>
  <c r="X68" i="10"/>
  <c r="W68" i="10"/>
  <c r="W71" i="10"/>
  <c r="X71" i="10"/>
  <c r="W72" i="10"/>
  <c r="X72" i="10"/>
  <c r="W73" i="10"/>
  <c r="X73" i="10"/>
  <c r="W74" i="10"/>
  <c r="X74" i="10"/>
  <c r="W75" i="10"/>
  <c r="X75" i="10"/>
  <c r="W76" i="10"/>
  <c r="X76" i="10"/>
  <c r="W77" i="10"/>
  <c r="X77" i="10"/>
  <c r="X67" i="10"/>
  <c r="W67" i="10"/>
  <c r="AQ76" i="10"/>
  <c r="AQ75" i="10"/>
  <c r="M82" i="10"/>
  <c r="M81" i="10"/>
  <c r="M70" i="10"/>
  <c r="M69" i="10"/>
  <c r="M68" i="10"/>
  <c r="Y68" i="10"/>
  <c r="Z68" i="10"/>
  <c r="AA68" i="10"/>
  <c r="AB68" i="10"/>
  <c r="AC68" i="10"/>
  <c r="AD68" i="10"/>
  <c r="AG68" i="10"/>
  <c r="AH68" i="10"/>
  <c r="AI68" i="10"/>
  <c r="AJ68" i="10"/>
  <c r="AK68" i="10"/>
  <c r="AL68" i="10"/>
  <c r="Y69" i="10"/>
  <c r="Z69" i="10"/>
  <c r="AA69" i="10"/>
  <c r="AB69" i="10"/>
  <c r="AC69" i="10"/>
  <c r="AD69" i="10"/>
  <c r="AG69" i="10"/>
  <c r="AH69" i="10"/>
  <c r="AI69" i="10"/>
  <c r="AJ69" i="10"/>
  <c r="AK69" i="10"/>
  <c r="AL69" i="10"/>
  <c r="Y70" i="10"/>
  <c r="Z70" i="10"/>
  <c r="AA70" i="10"/>
  <c r="AB70" i="10"/>
  <c r="AC70" i="10"/>
  <c r="AD70" i="10"/>
  <c r="AG70" i="10"/>
  <c r="AH70" i="10"/>
  <c r="AI70" i="10"/>
  <c r="AJ70" i="10"/>
  <c r="AK70" i="10"/>
  <c r="AL70" i="10"/>
  <c r="Y71" i="10"/>
  <c r="Z71" i="10"/>
  <c r="AA71" i="10"/>
  <c r="AB71" i="10"/>
  <c r="AC71" i="10"/>
  <c r="AD71" i="10"/>
  <c r="AG71" i="10"/>
  <c r="AH71" i="10"/>
  <c r="AI71" i="10"/>
  <c r="AJ71" i="10"/>
  <c r="AK71" i="10"/>
  <c r="AL71" i="10"/>
  <c r="Y72" i="10"/>
  <c r="Z72" i="10"/>
  <c r="AA72" i="10"/>
  <c r="AB72" i="10"/>
  <c r="AC72" i="10"/>
  <c r="AD72" i="10"/>
  <c r="AG72" i="10"/>
  <c r="AH72" i="10"/>
  <c r="AI72" i="10"/>
  <c r="AJ72" i="10"/>
  <c r="AK72" i="10"/>
  <c r="AL72" i="10"/>
  <c r="Y73" i="10"/>
  <c r="Z73" i="10"/>
  <c r="AA73" i="10"/>
  <c r="AB73" i="10"/>
  <c r="AC73" i="10"/>
  <c r="AD73" i="10"/>
  <c r="AG73" i="10"/>
  <c r="AH73" i="10"/>
  <c r="AI73" i="10"/>
  <c r="AJ73" i="10"/>
  <c r="AK73" i="10"/>
  <c r="AL73" i="10"/>
  <c r="Y74" i="10"/>
  <c r="Z74" i="10"/>
  <c r="AA74" i="10"/>
  <c r="AB74" i="10"/>
  <c r="AC74" i="10"/>
  <c r="AD74" i="10"/>
  <c r="AG74" i="10"/>
  <c r="AH74" i="10"/>
  <c r="AI74" i="10"/>
  <c r="AJ74" i="10"/>
  <c r="AK74" i="10"/>
  <c r="AL74" i="10"/>
  <c r="Y75" i="10"/>
  <c r="Z75" i="10"/>
  <c r="AA75" i="10"/>
  <c r="AB75" i="10"/>
  <c r="AC75" i="10"/>
  <c r="AD75" i="10"/>
  <c r="AG75" i="10"/>
  <c r="AH75" i="10"/>
  <c r="AI75" i="10"/>
  <c r="AJ75" i="10"/>
  <c r="AK75" i="10"/>
  <c r="AL75" i="10"/>
  <c r="Y76" i="10"/>
  <c r="Z76" i="10"/>
  <c r="AA76" i="10"/>
  <c r="AB76" i="10"/>
  <c r="AC76" i="10"/>
  <c r="AD76" i="10"/>
  <c r="AG76" i="10"/>
  <c r="AH76" i="10"/>
  <c r="AI76" i="10"/>
  <c r="AJ76" i="10"/>
  <c r="AK76" i="10"/>
  <c r="AL76" i="10"/>
  <c r="Y77" i="10"/>
  <c r="Z77" i="10"/>
  <c r="AA77" i="10"/>
  <c r="AB77" i="10"/>
  <c r="AC77" i="10"/>
  <c r="AD77" i="10"/>
  <c r="AG77" i="10"/>
  <c r="AH77" i="10"/>
  <c r="AI77" i="10"/>
  <c r="AJ77" i="10"/>
  <c r="AK77" i="10"/>
  <c r="AL77" i="10"/>
  <c r="Y78" i="10"/>
  <c r="Z78" i="10"/>
  <c r="AA78" i="10"/>
  <c r="AB78" i="10"/>
  <c r="AC78" i="10"/>
  <c r="AD78" i="10"/>
  <c r="AG78" i="10"/>
  <c r="AH78" i="10"/>
  <c r="AI78" i="10"/>
  <c r="AJ78" i="10"/>
  <c r="AK78" i="10"/>
  <c r="AL78" i="10"/>
  <c r="Y79" i="10"/>
  <c r="Z79" i="10"/>
  <c r="AA79" i="10"/>
  <c r="AB79" i="10"/>
  <c r="AC79" i="10"/>
  <c r="AD79" i="10"/>
  <c r="AG79" i="10"/>
  <c r="AH79" i="10"/>
  <c r="AI79" i="10"/>
  <c r="AJ79" i="10"/>
  <c r="AK79" i="10"/>
  <c r="AL79" i="10"/>
  <c r="Y80" i="10"/>
  <c r="Z80" i="10"/>
  <c r="AA80" i="10"/>
  <c r="AB80" i="10"/>
  <c r="AC80" i="10"/>
  <c r="AD80" i="10"/>
  <c r="AG80" i="10"/>
  <c r="AH80" i="10"/>
  <c r="AI80" i="10"/>
  <c r="AJ80" i="10"/>
  <c r="AK80" i="10"/>
  <c r="AL80" i="10"/>
  <c r="Y81" i="10"/>
  <c r="Z81" i="10"/>
  <c r="AA81" i="10"/>
  <c r="AB81" i="10"/>
  <c r="AC81" i="10"/>
  <c r="AD81" i="10"/>
  <c r="AG81" i="10"/>
  <c r="AH81" i="10"/>
  <c r="AI81" i="10"/>
  <c r="AJ81" i="10"/>
  <c r="AK81" i="10"/>
  <c r="AL81" i="10"/>
  <c r="Y82" i="10"/>
  <c r="Z82" i="10"/>
  <c r="AA82" i="10"/>
  <c r="AB82" i="10"/>
  <c r="AC82" i="10"/>
  <c r="AD82" i="10"/>
  <c r="AG82" i="10"/>
  <c r="AH82" i="10"/>
  <c r="AI82" i="10"/>
  <c r="AJ82" i="10"/>
  <c r="AK82" i="10"/>
  <c r="AL82" i="10"/>
  <c r="AH67" i="10"/>
  <c r="AI67" i="10"/>
  <c r="AJ67" i="10"/>
  <c r="AK67" i="10"/>
  <c r="AL67" i="10"/>
  <c r="AG67" i="10"/>
  <c r="Z67" i="10"/>
  <c r="AA67" i="10"/>
  <c r="AB67" i="10"/>
  <c r="AC67" i="10"/>
  <c r="AD67" i="10"/>
  <c r="Y67" i="10"/>
  <c r="M67" i="10"/>
  <c r="F68" i="10"/>
  <c r="I68" i="10"/>
  <c r="J68" i="10"/>
  <c r="L68" i="10"/>
  <c r="N68" i="10"/>
  <c r="Q68" i="10"/>
  <c r="R68" i="10"/>
  <c r="T68" i="10"/>
  <c r="F69" i="10"/>
  <c r="I69" i="10"/>
  <c r="J69" i="10"/>
  <c r="L69" i="10"/>
  <c r="N69" i="10"/>
  <c r="Q69" i="10"/>
  <c r="R69" i="10"/>
  <c r="T69" i="10"/>
  <c r="F70" i="10"/>
  <c r="I70" i="10"/>
  <c r="J70" i="10"/>
  <c r="L70" i="10"/>
  <c r="N70" i="10"/>
  <c r="Q70" i="10"/>
  <c r="R70" i="10"/>
  <c r="T70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F81" i="10"/>
  <c r="G81" i="10"/>
  <c r="I81" i="10"/>
  <c r="J81" i="10"/>
  <c r="N81" i="10"/>
  <c r="O81" i="10"/>
  <c r="Q81" i="10"/>
  <c r="R81" i="10"/>
  <c r="F82" i="10"/>
  <c r="G82" i="10"/>
  <c r="I82" i="10"/>
  <c r="J82" i="10"/>
  <c r="N82" i="10"/>
  <c r="O82" i="10"/>
  <c r="Q82" i="10"/>
  <c r="R82" i="10"/>
  <c r="P67" i="10"/>
  <c r="Q67" i="10"/>
  <c r="R67" i="10"/>
  <c r="S67" i="10"/>
  <c r="H67" i="10"/>
  <c r="I67" i="10"/>
  <c r="J67" i="10"/>
  <c r="K67" i="10"/>
  <c r="C71" i="10"/>
  <c r="C72" i="10"/>
  <c r="C73" i="10"/>
  <c r="C74" i="10"/>
  <c r="C75" i="10"/>
  <c r="C76" i="10"/>
  <c r="C77" i="10"/>
  <c r="C78" i="10"/>
  <c r="C79" i="10"/>
  <c r="C80" i="10"/>
  <c r="B71" i="10"/>
  <c r="B72" i="10"/>
  <c r="B73" i="10"/>
  <c r="B74" i="10"/>
  <c r="B75" i="10"/>
  <c r="B76" i="10"/>
  <c r="B77" i="10"/>
  <c r="B78" i="10"/>
  <c r="B79" i="10"/>
  <c r="B80" i="10"/>
  <c r="AF62" i="10"/>
  <c r="AF61" i="10"/>
  <c r="AF58" i="10"/>
  <c r="AF59" i="10"/>
  <c r="AF57" i="10"/>
  <c r="AF54" i="10"/>
  <c r="AF55" i="10"/>
  <c r="AF56" i="10"/>
  <c r="AF53" i="10"/>
  <c r="M54" i="10"/>
  <c r="M55" i="10"/>
  <c r="M56" i="10"/>
  <c r="M53" i="10"/>
  <c r="AF39" i="10"/>
  <c r="M41" i="10"/>
  <c r="M40" i="10"/>
  <c r="M39" i="10"/>
  <c r="AF60" i="10"/>
  <c r="Z62" i="10"/>
  <c r="Z61" i="10"/>
  <c r="Z60" i="10"/>
  <c r="Z58" i="10"/>
  <c r="Z59" i="10"/>
  <c r="Z57" i="10"/>
  <c r="W54" i="10"/>
  <c r="W55" i="10"/>
  <c r="W56" i="10"/>
  <c r="W57" i="10"/>
  <c r="W58" i="10"/>
  <c r="W59" i="10"/>
  <c r="W53" i="10"/>
  <c r="W61" i="10"/>
  <c r="X61" i="10"/>
  <c r="W62" i="10"/>
  <c r="X62" i="10"/>
  <c r="W60" i="10"/>
  <c r="X60" i="10"/>
  <c r="X54" i="10"/>
  <c r="X55" i="10"/>
  <c r="X56" i="10"/>
  <c r="X57" i="10"/>
  <c r="X58" i="10"/>
  <c r="X59" i="10"/>
  <c r="X53" i="10"/>
  <c r="AH54" i="10"/>
  <c r="AH55" i="10"/>
  <c r="AH56" i="10"/>
  <c r="AH57" i="10"/>
  <c r="AH58" i="10"/>
  <c r="AH59" i="10"/>
  <c r="AH60" i="10"/>
  <c r="AH61" i="10"/>
  <c r="AH62" i="10"/>
  <c r="AH53" i="10"/>
  <c r="AQ55" i="10"/>
  <c r="AQ56" i="10" s="1"/>
  <c r="AF44" i="10"/>
  <c r="AF43" i="10"/>
  <c r="AF42" i="10"/>
  <c r="AA44" i="10"/>
  <c r="AI44" i="10"/>
  <c r="AI43" i="10"/>
  <c r="AI42" i="10"/>
  <c r="X40" i="10"/>
  <c r="X41" i="10"/>
  <c r="X42" i="10"/>
  <c r="X43" i="10"/>
  <c r="E61" i="10" s="1"/>
  <c r="X44" i="10"/>
  <c r="X39" i="10"/>
  <c r="W40" i="10"/>
  <c r="W41" i="10"/>
  <c r="W42" i="10"/>
  <c r="D60" i="10" s="1"/>
  <c r="W43" i="10"/>
  <c r="D61" i="10" s="1"/>
  <c r="W44" i="10"/>
  <c r="W39" i="10"/>
  <c r="AT41" i="10"/>
  <c r="AT40" i="10"/>
  <c r="AT39" i="10"/>
  <c r="AT38" i="10"/>
  <c r="AS38" i="10"/>
  <c r="Y50" i="10"/>
  <c r="Z50" i="10"/>
  <c r="AA50" i="10"/>
  <c r="AB50" i="10"/>
  <c r="AC50" i="10"/>
  <c r="AD50" i="10"/>
  <c r="AE50" i="10"/>
  <c r="AG50" i="10"/>
  <c r="AH50" i="10"/>
  <c r="AI50" i="10"/>
  <c r="AJ50" i="10"/>
  <c r="AK50" i="10"/>
  <c r="AL50" i="10"/>
  <c r="AM50" i="10"/>
  <c r="Y51" i="10"/>
  <c r="Z51" i="10"/>
  <c r="AA51" i="10"/>
  <c r="AB51" i="10"/>
  <c r="AC51" i="10"/>
  <c r="AD51" i="10"/>
  <c r="AE51" i="10"/>
  <c r="AG51" i="10"/>
  <c r="AH51" i="10"/>
  <c r="AI51" i="10"/>
  <c r="AJ51" i="10"/>
  <c r="AK51" i="10"/>
  <c r="AL51" i="10"/>
  <c r="AM51" i="10"/>
  <c r="Y52" i="10"/>
  <c r="Z52" i="10"/>
  <c r="AA52" i="10"/>
  <c r="AB52" i="10"/>
  <c r="AC52" i="10"/>
  <c r="AD52" i="10"/>
  <c r="AE52" i="10"/>
  <c r="AG52" i="10"/>
  <c r="AH52" i="10"/>
  <c r="AI52" i="10"/>
  <c r="AJ52" i="10"/>
  <c r="AK52" i="10"/>
  <c r="AL52" i="10"/>
  <c r="AM52" i="10"/>
  <c r="Y53" i="10"/>
  <c r="AA53" i="10"/>
  <c r="AB53" i="10"/>
  <c r="AC53" i="10"/>
  <c r="AD53" i="10"/>
  <c r="AE53" i="10"/>
  <c r="AG53" i="10"/>
  <c r="AI53" i="10"/>
  <c r="AJ53" i="10"/>
  <c r="AK53" i="10"/>
  <c r="AL53" i="10"/>
  <c r="AM53" i="10"/>
  <c r="Y54" i="10"/>
  <c r="AA54" i="10"/>
  <c r="AB54" i="10"/>
  <c r="AC54" i="10"/>
  <c r="AD54" i="10"/>
  <c r="AE54" i="10"/>
  <c r="AG54" i="10"/>
  <c r="AI54" i="10"/>
  <c r="AJ54" i="10"/>
  <c r="AK54" i="10"/>
  <c r="AL54" i="10"/>
  <c r="AM54" i="10"/>
  <c r="Y55" i="10"/>
  <c r="AA55" i="10"/>
  <c r="AB55" i="10"/>
  <c r="AC55" i="10"/>
  <c r="AD55" i="10"/>
  <c r="AE55" i="10"/>
  <c r="AG55" i="10"/>
  <c r="AI55" i="10"/>
  <c r="AJ55" i="10"/>
  <c r="AK55" i="10"/>
  <c r="AL55" i="10"/>
  <c r="AM55" i="10"/>
  <c r="Y56" i="10"/>
  <c r="AA56" i="10"/>
  <c r="AB56" i="10"/>
  <c r="AC56" i="10"/>
  <c r="AD56" i="10"/>
  <c r="AE56" i="10"/>
  <c r="AG56" i="10"/>
  <c r="AI56" i="10"/>
  <c r="AJ56" i="10"/>
  <c r="AK56" i="10"/>
  <c r="AL56" i="10"/>
  <c r="AM56" i="10"/>
  <c r="Y57" i="10"/>
  <c r="AB57" i="10"/>
  <c r="AC57" i="10"/>
  <c r="AD57" i="10"/>
  <c r="AE57" i="10"/>
  <c r="AG57" i="10"/>
  <c r="AJ57" i="10"/>
  <c r="AK57" i="10"/>
  <c r="AL57" i="10"/>
  <c r="AM57" i="10"/>
  <c r="Y58" i="10"/>
  <c r="AB58" i="10"/>
  <c r="AC58" i="10"/>
  <c r="AD58" i="10"/>
  <c r="AE58" i="10"/>
  <c r="AG58" i="10"/>
  <c r="AJ58" i="10"/>
  <c r="AK58" i="10"/>
  <c r="AL58" i="10"/>
  <c r="AM58" i="10"/>
  <c r="Y59" i="10"/>
  <c r="AB59" i="10"/>
  <c r="AC59" i="10"/>
  <c r="AD59" i="10"/>
  <c r="AE59" i="10"/>
  <c r="AG59" i="10"/>
  <c r="AJ59" i="10"/>
  <c r="AK59" i="10"/>
  <c r="AL59" i="10"/>
  <c r="AM59" i="10"/>
  <c r="Y60" i="10"/>
  <c r="AB60" i="10"/>
  <c r="AC60" i="10"/>
  <c r="AD60" i="10"/>
  <c r="AE60" i="10"/>
  <c r="AG60" i="10"/>
  <c r="AJ60" i="10"/>
  <c r="AK60" i="10"/>
  <c r="AL60" i="10"/>
  <c r="AM60" i="10"/>
  <c r="Y61" i="10"/>
  <c r="AB61" i="10"/>
  <c r="AC61" i="10"/>
  <c r="AD61" i="10"/>
  <c r="AE61" i="10"/>
  <c r="AG61" i="10"/>
  <c r="AJ61" i="10"/>
  <c r="AK61" i="10"/>
  <c r="AL61" i="10"/>
  <c r="AM61" i="10"/>
  <c r="Y62" i="10"/>
  <c r="AA62" i="10"/>
  <c r="AB62" i="10"/>
  <c r="AC62" i="10"/>
  <c r="AD62" i="10"/>
  <c r="AE62" i="10"/>
  <c r="AG62" i="10"/>
  <c r="AI62" i="10"/>
  <c r="AJ62" i="10"/>
  <c r="AK62" i="10"/>
  <c r="AL62" i="10"/>
  <c r="AM62" i="10"/>
  <c r="Y63" i="10"/>
  <c r="Z63" i="10"/>
  <c r="AA63" i="10"/>
  <c r="AB63" i="10"/>
  <c r="AC63" i="10"/>
  <c r="AD63" i="10"/>
  <c r="AE63" i="10"/>
  <c r="AG63" i="10"/>
  <c r="AH63" i="10"/>
  <c r="AI63" i="10"/>
  <c r="AJ63" i="10"/>
  <c r="AK63" i="10"/>
  <c r="AL63" i="10"/>
  <c r="AM63" i="10"/>
  <c r="Y64" i="10"/>
  <c r="Z64" i="10"/>
  <c r="AA64" i="10"/>
  <c r="AB64" i="10"/>
  <c r="AC64" i="10"/>
  <c r="AD64" i="10"/>
  <c r="AE64" i="10"/>
  <c r="AG64" i="10"/>
  <c r="AH64" i="10"/>
  <c r="AI64" i="10"/>
  <c r="AJ64" i="10"/>
  <c r="AK64" i="10"/>
  <c r="AL64" i="10"/>
  <c r="AM64" i="10"/>
  <c r="AH49" i="10"/>
  <c r="AI49" i="10"/>
  <c r="AJ49" i="10"/>
  <c r="AK49" i="10"/>
  <c r="AL49" i="10"/>
  <c r="AM49" i="10"/>
  <c r="AG49" i="10"/>
  <c r="Z49" i="10"/>
  <c r="AA49" i="10"/>
  <c r="AB49" i="10"/>
  <c r="AC49" i="10"/>
  <c r="AD49" i="10"/>
  <c r="AE49" i="10"/>
  <c r="Y49" i="10"/>
  <c r="F50" i="10"/>
  <c r="G50" i="10"/>
  <c r="H50" i="10"/>
  <c r="I50" i="10"/>
  <c r="J50" i="10"/>
  <c r="K50" i="10"/>
  <c r="L50" i="10"/>
  <c r="N50" i="10"/>
  <c r="O50" i="10"/>
  <c r="P50" i="10"/>
  <c r="Q50" i="10"/>
  <c r="R50" i="10"/>
  <c r="S50" i="10"/>
  <c r="T50" i="10"/>
  <c r="F51" i="10"/>
  <c r="G51" i="10"/>
  <c r="H51" i="10"/>
  <c r="I51" i="10"/>
  <c r="J51" i="10"/>
  <c r="K51" i="10"/>
  <c r="L51" i="10"/>
  <c r="N51" i="10"/>
  <c r="O51" i="10"/>
  <c r="P51" i="10"/>
  <c r="Q51" i="10"/>
  <c r="R51" i="10"/>
  <c r="S51" i="10"/>
  <c r="T51" i="10"/>
  <c r="F52" i="10"/>
  <c r="G52" i="10"/>
  <c r="H52" i="10"/>
  <c r="I52" i="10"/>
  <c r="J52" i="10"/>
  <c r="K52" i="10"/>
  <c r="L52" i="10"/>
  <c r="N52" i="10"/>
  <c r="O52" i="10"/>
  <c r="P52" i="10"/>
  <c r="Q52" i="10"/>
  <c r="R52" i="10"/>
  <c r="S52" i="10"/>
  <c r="T52" i="10"/>
  <c r="F53" i="10"/>
  <c r="I53" i="10"/>
  <c r="J53" i="10"/>
  <c r="L53" i="10"/>
  <c r="N53" i="10"/>
  <c r="Q53" i="10"/>
  <c r="R53" i="10"/>
  <c r="T53" i="10"/>
  <c r="F54" i="10"/>
  <c r="I54" i="10"/>
  <c r="J54" i="10"/>
  <c r="L54" i="10"/>
  <c r="N54" i="10"/>
  <c r="Q54" i="10"/>
  <c r="R54" i="10"/>
  <c r="T54" i="10"/>
  <c r="F55" i="10"/>
  <c r="I55" i="10"/>
  <c r="J55" i="10"/>
  <c r="L55" i="10"/>
  <c r="N55" i="10"/>
  <c r="Q55" i="10"/>
  <c r="R55" i="10"/>
  <c r="T55" i="10"/>
  <c r="F56" i="10"/>
  <c r="I56" i="10"/>
  <c r="J56" i="10"/>
  <c r="L56" i="10"/>
  <c r="N56" i="10"/>
  <c r="Q56" i="10"/>
  <c r="R56" i="10"/>
  <c r="T56" i="10"/>
  <c r="F57" i="10"/>
  <c r="G57" i="10"/>
  <c r="H57" i="10"/>
  <c r="AA57" i="10" s="1"/>
  <c r="I57" i="10"/>
  <c r="J57" i="10"/>
  <c r="K57" i="10"/>
  <c r="L57" i="10"/>
  <c r="M57" i="10"/>
  <c r="N57" i="10"/>
  <c r="O57" i="10"/>
  <c r="P57" i="10"/>
  <c r="AI57" i="10" s="1"/>
  <c r="Q57" i="10"/>
  <c r="R57" i="10"/>
  <c r="S57" i="10"/>
  <c r="T57" i="10"/>
  <c r="F58" i="10"/>
  <c r="G58" i="10"/>
  <c r="H58" i="10"/>
  <c r="AA58" i="10" s="1"/>
  <c r="I58" i="10"/>
  <c r="J58" i="10"/>
  <c r="K58" i="10"/>
  <c r="L58" i="10"/>
  <c r="M58" i="10"/>
  <c r="N58" i="10"/>
  <c r="O58" i="10"/>
  <c r="P58" i="10"/>
  <c r="AI58" i="10" s="1"/>
  <c r="Q58" i="10"/>
  <c r="R58" i="10"/>
  <c r="S58" i="10"/>
  <c r="T58" i="10"/>
  <c r="F59" i="10"/>
  <c r="G59" i="10"/>
  <c r="H59" i="10"/>
  <c r="AA59" i="10" s="1"/>
  <c r="I59" i="10"/>
  <c r="J59" i="10"/>
  <c r="K59" i="10"/>
  <c r="L59" i="10"/>
  <c r="N59" i="10"/>
  <c r="O59" i="10"/>
  <c r="P59" i="10"/>
  <c r="AI59" i="10" s="1"/>
  <c r="Q59" i="10"/>
  <c r="R59" i="10"/>
  <c r="S59" i="10"/>
  <c r="T59" i="10"/>
  <c r="F60" i="10"/>
  <c r="G60" i="10"/>
  <c r="H60" i="10"/>
  <c r="AA60" i="10" s="1"/>
  <c r="I60" i="10"/>
  <c r="J60" i="10"/>
  <c r="K60" i="10"/>
  <c r="L60" i="10"/>
  <c r="M60" i="10"/>
  <c r="N60" i="10"/>
  <c r="O60" i="10"/>
  <c r="P60" i="10"/>
  <c r="AI60" i="10" s="1"/>
  <c r="Q60" i="10"/>
  <c r="R60" i="10"/>
  <c r="S60" i="10"/>
  <c r="T60" i="10"/>
  <c r="F61" i="10"/>
  <c r="G61" i="10"/>
  <c r="H61" i="10"/>
  <c r="AA61" i="10" s="1"/>
  <c r="I61" i="10"/>
  <c r="J61" i="10"/>
  <c r="K61" i="10"/>
  <c r="L61" i="10"/>
  <c r="M61" i="10"/>
  <c r="N61" i="10"/>
  <c r="O61" i="10"/>
  <c r="P61" i="10"/>
  <c r="AI61" i="10" s="1"/>
  <c r="Q61" i="10"/>
  <c r="R61" i="10"/>
  <c r="S61" i="10"/>
  <c r="T61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F63" i="10"/>
  <c r="G63" i="10"/>
  <c r="H63" i="10"/>
  <c r="I63" i="10"/>
  <c r="J63" i="10"/>
  <c r="K63" i="10"/>
  <c r="L63" i="10"/>
  <c r="N63" i="10"/>
  <c r="O63" i="10"/>
  <c r="P63" i="10"/>
  <c r="Q63" i="10"/>
  <c r="R63" i="10"/>
  <c r="S63" i="10"/>
  <c r="T63" i="10"/>
  <c r="F64" i="10"/>
  <c r="G64" i="10"/>
  <c r="H64" i="10"/>
  <c r="I64" i="10"/>
  <c r="J64" i="10"/>
  <c r="K64" i="10"/>
  <c r="L64" i="10"/>
  <c r="N64" i="10"/>
  <c r="O64" i="10"/>
  <c r="P64" i="10"/>
  <c r="Q64" i="10"/>
  <c r="R64" i="10"/>
  <c r="S64" i="10"/>
  <c r="T64" i="10"/>
  <c r="O49" i="10"/>
  <c r="P49" i="10"/>
  <c r="Q49" i="10"/>
  <c r="R49" i="10"/>
  <c r="S49" i="10"/>
  <c r="T49" i="10"/>
  <c r="N49" i="10"/>
  <c r="G49" i="10"/>
  <c r="H49" i="10"/>
  <c r="I49" i="10"/>
  <c r="J49" i="10"/>
  <c r="K49" i="10"/>
  <c r="L49" i="10"/>
  <c r="F49" i="10"/>
  <c r="D58" i="10"/>
  <c r="E58" i="10"/>
  <c r="D59" i="10"/>
  <c r="E59" i="10"/>
  <c r="E60" i="10"/>
  <c r="D62" i="10"/>
  <c r="E62" i="10"/>
  <c r="E57" i="10"/>
  <c r="D57" i="10"/>
  <c r="C58" i="10"/>
  <c r="C59" i="10"/>
  <c r="C60" i="10"/>
  <c r="C61" i="10"/>
  <c r="C62" i="10"/>
  <c r="C57" i="10"/>
  <c r="B58" i="10"/>
  <c r="B59" i="10"/>
  <c r="B60" i="10"/>
  <c r="B61" i="10"/>
  <c r="B62" i="10"/>
  <c r="B57" i="10"/>
  <c r="AF40" i="10"/>
  <c r="AF41" i="10" s="1"/>
  <c r="M59" i="10" s="1"/>
  <c r="AQ40" i="10"/>
  <c r="AQ39" i="10"/>
  <c r="AQ38" i="10"/>
  <c r="AD44" i="10"/>
  <c r="AD42" i="10"/>
  <c r="AL44" i="10"/>
  <c r="AL42" i="10"/>
  <c r="Y32" i="10"/>
  <c r="Z32" i="10"/>
  <c r="AA32" i="10"/>
  <c r="AB32" i="10"/>
  <c r="AC32" i="10"/>
  <c r="AD32" i="10"/>
  <c r="AE32" i="10"/>
  <c r="AG32" i="10"/>
  <c r="AH32" i="10"/>
  <c r="AI32" i="10"/>
  <c r="AJ32" i="10"/>
  <c r="AK32" i="10"/>
  <c r="AL32" i="10"/>
  <c r="AM32" i="10"/>
  <c r="Y33" i="10"/>
  <c r="Z33" i="10"/>
  <c r="AA33" i="10"/>
  <c r="AB33" i="10"/>
  <c r="AC33" i="10"/>
  <c r="AD33" i="10"/>
  <c r="AE33" i="10"/>
  <c r="AG33" i="10"/>
  <c r="AH33" i="10"/>
  <c r="AI33" i="10"/>
  <c r="AJ33" i="10"/>
  <c r="AK33" i="10"/>
  <c r="AL33" i="10"/>
  <c r="AM33" i="10"/>
  <c r="Y34" i="10"/>
  <c r="Z34" i="10"/>
  <c r="AA34" i="10"/>
  <c r="AB34" i="10"/>
  <c r="AC34" i="10"/>
  <c r="AD34" i="10"/>
  <c r="AE34" i="10"/>
  <c r="AG34" i="10"/>
  <c r="AH34" i="10"/>
  <c r="AI34" i="10"/>
  <c r="AJ34" i="10"/>
  <c r="AK34" i="10"/>
  <c r="AL34" i="10"/>
  <c r="AM34" i="10"/>
  <c r="Y35" i="10"/>
  <c r="Z35" i="10"/>
  <c r="AA35" i="10"/>
  <c r="AB35" i="10"/>
  <c r="AC35" i="10"/>
  <c r="AD35" i="10"/>
  <c r="AE35" i="10"/>
  <c r="AG35" i="10"/>
  <c r="AH35" i="10"/>
  <c r="AI35" i="10"/>
  <c r="AJ35" i="10"/>
  <c r="AK35" i="10"/>
  <c r="AL35" i="10"/>
  <c r="AM35" i="10"/>
  <c r="Y36" i="10"/>
  <c r="Z36" i="10"/>
  <c r="AA36" i="10"/>
  <c r="AB36" i="10"/>
  <c r="AC36" i="10"/>
  <c r="AD36" i="10"/>
  <c r="AE36" i="10"/>
  <c r="AG36" i="10"/>
  <c r="AH36" i="10"/>
  <c r="AI36" i="10"/>
  <c r="AJ36" i="10"/>
  <c r="AK36" i="10"/>
  <c r="AL36" i="10"/>
  <c r="AM36" i="10"/>
  <c r="Y37" i="10"/>
  <c r="Z37" i="10"/>
  <c r="AA37" i="10"/>
  <c r="AB37" i="10"/>
  <c r="AC37" i="10"/>
  <c r="AD37" i="10"/>
  <c r="AE37" i="10"/>
  <c r="AG37" i="10"/>
  <c r="AH37" i="10"/>
  <c r="AI37" i="10"/>
  <c r="AJ37" i="10"/>
  <c r="AK37" i="10"/>
  <c r="AL37" i="10"/>
  <c r="AM37" i="10"/>
  <c r="Y38" i="10"/>
  <c r="Z38" i="10"/>
  <c r="AA38" i="10"/>
  <c r="AB38" i="10"/>
  <c r="AC38" i="10"/>
  <c r="AD38" i="10"/>
  <c r="AE38" i="10"/>
  <c r="AG38" i="10"/>
  <c r="AH38" i="10"/>
  <c r="AI38" i="10"/>
  <c r="AJ38" i="10"/>
  <c r="AK38" i="10"/>
  <c r="AL38" i="10"/>
  <c r="AM38" i="10"/>
  <c r="Y39" i="10"/>
  <c r="Z39" i="10"/>
  <c r="AB39" i="10"/>
  <c r="AC39" i="10"/>
  <c r="AE39" i="10"/>
  <c r="AG39" i="10"/>
  <c r="AH39" i="10"/>
  <c r="AJ39" i="10"/>
  <c r="AK39" i="10"/>
  <c r="AM39" i="10"/>
  <c r="Y40" i="10"/>
  <c r="Z40" i="10"/>
  <c r="AB40" i="10"/>
  <c r="AC40" i="10"/>
  <c r="AE40" i="10"/>
  <c r="AG40" i="10"/>
  <c r="AH40" i="10"/>
  <c r="AJ40" i="10"/>
  <c r="AK40" i="10"/>
  <c r="AM40" i="10"/>
  <c r="Y41" i="10"/>
  <c r="Z41" i="10"/>
  <c r="AB41" i="10"/>
  <c r="AC41" i="10"/>
  <c r="AE41" i="10"/>
  <c r="AG41" i="10"/>
  <c r="AH41" i="10"/>
  <c r="AJ41" i="10"/>
  <c r="AK41" i="10"/>
  <c r="AM41" i="10"/>
  <c r="Y42" i="10"/>
  <c r="Z42" i="10"/>
  <c r="AB42" i="10"/>
  <c r="AC42" i="10"/>
  <c r="AE42" i="10"/>
  <c r="AG42" i="10"/>
  <c r="AH42" i="10"/>
  <c r="AJ42" i="10"/>
  <c r="AK42" i="10"/>
  <c r="AM42" i="10"/>
  <c r="Y43" i="10"/>
  <c r="Z43" i="10"/>
  <c r="AB43" i="10"/>
  <c r="AC43" i="10"/>
  <c r="AE43" i="10"/>
  <c r="AG43" i="10"/>
  <c r="AH43" i="10"/>
  <c r="AJ43" i="10"/>
  <c r="AK43" i="10"/>
  <c r="AM43" i="10"/>
  <c r="Y44" i="10"/>
  <c r="Z44" i="10"/>
  <c r="AB44" i="10"/>
  <c r="AC44" i="10"/>
  <c r="AE44" i="10"/>
  <c r="AG44" i="10"/>
  <c r="AH44" i="10"/>
  <c r="AJ44" i="10"/>
  <c r="AK44" i="10"/>
  <c r="AM44" i="10"/>
  <c r="Y45" i="10"/>
  <c r="Z45" i="10"/>
  <c r="AA45" i="10"/>
  <c r="AB45" i="10"/>
  <c r="AC45" i="10"/>
  <c r="AD45" i="10"/>
  <c r="AE45" i="10"/>
  <c r="AG45" i="10"/>
  <c r="AH45" i="10"/>
  <c r="AI45" i="10"/>
  <c r="AJ45" i="10"/>
  <c r="AK45" i="10"/>
  <c r="AL45" i="10"/>
  <c r="AM45" i="10"/>
  <c r="Y46" i="10"/>
  <c r="Z46" i="10"/>
  <c r="AA46" i="10"/>
  <c r="AB46" i="10"/>
  <c r="AC46" i="10"/>
  <c r="AD46" i="10"/>
  <c r="AE46" i="10"/>
  <c r="AG46" i="10"/>
  <c r="AH46" i="10"/>
  <c r="AI46" i="10"/>
  <c r="AJ46" i="10"/>
  <c r="AK46" i="10"/>
  <c r="AL46" i="10"/>
  <c r="AM46" i="10"/>
  <c r="AH31" i="10"/>
  <c r="AI31" i="10"/>
  <c r="AJ31" i="10"/>
  <c r="AK31" i="10"/>
  <c r="AL31" i="10"/>
  <c r="AM31" i="10"/>
  <c r="AG31" i="10"/>
  <c r="Z31" i="10"/>
  <c r="AA31" i="10"/>
  <c r="AB31" i="10"/>
  <c r="AC31" i="10"/>
  <c r="AD31" i="10"/>
  <c r="AE31" i="10"/>
  <c r="Y31" i="10"/>
  <c r="N32" i="10"/>
  <c r="O32" i="10"/>
  <c r="P32" i="10"/>
  <c r="Q32" i="10"/>
  <c r="R32" i="10"/>
  <c r="S32" i="10"/>
  <c r="T32" i="10"/>
  <c r="N33" i="10"/>
  <c r="O33" i="10"/>
  <c r="P33" i="10"/>
  <c r="Q33" i="10"/>
  <c r="R33" i="10"/>
  <c r="S33" i="10"/>
  <c r="T33" i="10"/>
  <c r="N34" i="10"/>
  <c r="O34" i="10"/>
  <c r="P34" i="10"/>
  <c r="Q34" i="10"/>
  <c r="R34" i="10"/>
  <c r="S34" i="10"/>
  <c r="T34" i="10"/>
  <c r="N35" i="10"/>
  <c r="O35" i="10"/>
  <c r="P35" i="10"/>
  <c r="Q35" i="10"/>
  <c r="R35" i="10"/>
  <c r="S35" i="10"/>
  <c r="T35" i="10"/>
  <c r="N36" i="10"/>
  <c r="O36" i="10"/>
  <c r="P36" i="10"/>
  <c r="Q36" i="10"/>
  <c r="R36" i="10"/>
  <c r="S36" i="10"/>
  <c r="T36" i="10"/>
  <c r="N37" i="10"/>
  <c r="O37" i="10"/>
  <c r="P37" i="10"/>
  <c r="Q37" i="10"/>
  <c r="R37" i="10"/>
  <c r="S37" i="10"/>
  <c r="T37" i="10"/>
  <c r="N38" i="10"/>
  <c r="O38" i="10"/>
  <c r="P38" i="10"/>
  <c r="Q38" i="10"/>
  <c r="R38" i="10"/>
  <c r="S38" i="10"/>
  <c r="T38" i="10"/>
  <c r="N39" i="10"/>
  <c r="Q39" i="10"/>
  <c r="R39" i="10"/>
  <c r="S39" i="10"/>
  <c r="T39" i="10"/>
  <c r="N40" i="10"/>
  <c r="Q40" i="10"/>
  <c r="R40" i="10"/>
  <c r="S40" i="10"/>
  <c r="T40" i="10"/>
  <c r="N41" i="10"/>
  <c r="Q41" i="10"/>
  <c r="R41" i="10"/>
  <c r="S41" i="10"/>
  <c r="T41" i="10"/>
  <c r="N42" i="10"/>
  <c r="O42" i="10"/>
  <c r="P42" i="10"/>
  <c r="Q42" i="10"/>
  <c r="R42" i="10"/>
  <c r="S42" i="10"/>
  <c r="T42" i="10"/>
  <c r="N43" i="10"/>
  <c r="O43" i="10"/>
  <c r="P43" i="10"/>
  <c r="Q43" i="10"/>
  <c r="R43" i="10"/>
  <c r="S43" i="10"/>
  <c r="T43" i="10"/>
  <c r="N44" i="10"/>
  <c r="O44" i="10"/>
  <c r="P44" i="10"/>
  <c r="Q44" i="10"/>
  <c r="R44" i="10"/>
  <c r="S44" i="10"/>
  <c r="T44" i="10"/>
  <c r="N45" i="10"/>
  <c r="O45" i="10"/>
  <c r="P45" i="10"/>
  <c r="Q45" i="10"/>
  <c r="R45" i="10"/>
  <c r="S45" i="10"/>
  <c r="T45" i="10"/>
  <c r="N46" i="10"/>
  <c r="O46" i="10"/>
  <c r="P46" i="10"/>
  <c r="Q46" i="10"/>
  <c r="R46" i="10"/>
  <c r="S46" i="10"/>
  <c r="T46" i="10"/>
  <c r="O31" i="10"/>
  <c r="P31" i="10"/>
  <c r="Q31" i="10"/>
  <c r="R31" i="10"/>
  <c r="S31" i="10"/>
  <c r="T31" i="10"/>
  <c r="N31" i="10"/>
  <c r="M43" i="10"/>
  <c r="M44" i="10"/>
  <c r="M42" i="10"/>
  <c r="F32" i="10"/>
  <c r="G32" i="10"/>
  <c r="H32" i="10"/>
  <c r="I32" i="10"/>
  <c r="J32" i="10"/>
  <c r="K32" i="10"/>
  <c r="L32" i="10"/>
  <c r="F33" i="10"/>
  <c r="G33" i="10"/>
  <c r="H33" i="10"/>
  <c r="I33" i="10"/>
  <c r="J33" i="10"/>
  <c r="K33" i="10"/>
  <c r="L33" i="10"/>
  <c r="F34" i="10"/>
  <c r="G34" i="10"/>
  <c r="H34" i="10"/>
  <c r="I34" i="10"/>
  <c r="J34" i="10"/>
  <c r="K34" i="10"/>
  <c r="L34" i="10"/>
  <c r="F35" i="10"/>
  <c r="G35" i="10"/>
  <c r="H35" i="10"/>
  <c r="I35" i="10"/>
  <c r="J35" i="10"/>
  <c r="K35" i="10"/>
  <c r="L35" i="10"/>
  <c r="F36" i="10"/>
  <c r="G36" i="10"/>
  <c r="H36" i="10"/>
  <c r="I36" i="10"/>
  <c r="J36" i="10"/>
  <c r="K36" i="10"/>
  <c r="L36" i="10"/>
  <c r="F37" i="10"/>
  <c r="G37" i="10"/>
  <c r="H37" i="10"/>
  <c r="I37" i="10"/>
  <c r="J37" i="10"/>
  <c r="K37" i="10"/>
  <c r="L37" i="10"/>
  <c r="F38" i="10"/>
  <c r="G38" i="10"/>
  <c r="H38" i="10"/>
  <c r="I38" i="10"/>
  <c r="J38" i="10"/>
  <c r="K38" i="10"/>
  <c r="L38" i="10"/>
  <c r="F39" i="10"/>
  <c r="I39" i="10"/>
  <c r="J39" i="10"/>
  <c r="K39" i="10"/>
  <c r="L39" i="10"/>
  <c r="F40" i="10"/>
  <c r="I40" i="10"/>
  <c r="J40" i="10"/>
  <c r="K40" i="10"/>
  <c r="L40" i="10"/>
  <c r="F41" i="10"/>
  <c r="I41" i="10"/>
  <c r="J41" i="10"/>
  <c r="K41" i="10"/>
  <c r="L41" i="10"/>
  <c r="F42" i="10"/>
  <c r="G42" i="10"/>
  <c r="H42" i="10"/>
  <c r="I42" i="10"/>
  <c r="J42" i="10"/>
  <c r="K42" i="10"/>
  <c r="L42" i="10"/>
  <c r="F43" i="10"/>
  <c r="G43" i="10"/>
  <c r="H43" i="10"/>
  <c r="I43" i="10"/>
  <c r="J43" i="10"/>
  <c r="K43" i="10"/>
  <c r="L43" i="10"/>
  <c r="F44" i="10"/>
  <c r="G44" i="10"/>
  <c r="H44" i="10"/>
  <c r="I44" i="10"/>
  <c r="J44" i="10"/>
  <c r="K44" i="10"/>
  <c r="L44" i="10"/>
  <c r="F45" i="10"/>
  <c r="G45" i="10"/>
  <c r="H45" i="10"/>
  <c r="I45" i="10"/>
  <c r="J45" i="10"/>
  <c r="K45" i="10"/>
  <c r="L45" i="10"/>
  <c r="F46" i="10"/>
  <c r="G46" i="10"/>
  <c r="H46" i="10"/>
  <c r="I46" i="10"/>
  <c r="J46" i="10"/>
  <c r="K46" i="10"/>
  <c r="L46" i="10"/>
  <c r="G31" i="10"/>
  <c r="H31" i="10"/>
  <c r="I31" i="10"/>
  <c r="J31" i="10"/>
  <c r="K31" i="10"/>
  <c r="L31" i="10"/>
  <c r="F31" i="10"/>
  <c r="D43" i="10"/>
  <c r="E43" i="10"/>
  <c r="D44" i="10"/>
  <c r="E44" i="10"/>
  <c r="E42" i="10"/>
  <c r="D42" i="10"/>
  <c r="C43" i="10"/>
  <c r="C44" i="10"/>
  <c r="C42" i="10"/>
  <c r="B43" i="10"/>
  <c r="B44" i="10"/>
  <c r="B42" i="10"/>
  <c r="AF26" i="10"/>
  <c r="AF25" i="10"/>
  <c r="AF24" i="10"/>
  <c r="AC25" i="10"/>
  <c r="AC24" i="10"/>
  <c r="AK26" i="10"/>
  <c r="AK25" i="10"/>
  <c r="AK24" i="10"/>
  <c r="AB26" i="10"/>
  <c r="AJ26" i="10"/>
  <c r="AJ25" i="10"/>
  <c r="AJ24" i="10"/>
  <c r="X25" i="10"/>
  <c r="X26" i="10"/>
  <c r="X24" i="10"/>
  <c r="W25" i="10"/>
  <c r="W26" i="10"/>
  <c r="W24" i="10"/>
  <c r="X7" i="10"/>
  <c r="X8" i="10"/>
  <c r="AG25" i="10"/>
  <c r="AH25" i="10"/>
  <c r="AI25" i="10"/>
  <c r="AL25" i="10"/>
  <c r="AM25" i="10"/>
  <c r="AG26" i="10"/>
  <c r="AH26" i="10"/>
  <c r="AI26" i="10"/>
  <c r="AL26" i="10"/>
  <c r="AM26" i="10"/>
  <c r="AH24" i="10"/>
  <c r="AI24" i="10"/>
  <c r="AL24" i="10"/>
  <c r="AM24" i="10"/>
  <c r="AG24" i="10"/>
  <c r="Y14" i="10"/>
  <c r="Z14" i="10"/>
  <c r="AA14" i="10"/>
  <c r="AB14" i="10"/>
  <c r="AC14" i="10"/>
  <c r="AD14" i="10"/>
  <c r="AE14" i="10"/>
  <c r="Y15" i="10"/>
  <c r="Z15" i="10"/>
  <c r="AA15" i="10"/>
  <c r="AB15" i="10"/>
  <c r="AC15" i="10"/>
  <c r="AD15" i="10"/>
  <c r="AE15" i="10"/>
  <c r="Y16" i="10"/>
  <c r="Z16" i="10"/>
  <c r="AA16" i="10"/>
  <c r="AB16" i="10"/>
  <c r="AC16" i="10"/>
  <c r="AD16" i="10"/>
  <c r="AE16" i="10"/>
  <c r="Y17" i="10"/>
  <c r="Z17" i="10"/>
  <c r="AA17" i="10"/>
  <c r="AB17" i="10"/>
  <c r="AC17" i="10"/>
  <c r="AD17" i="10"/>
  <c r="AE17" i="10"/>
  <c r="Y18" i="10"/>
  <c r="Z18" i="10"/>
  <c r="AA18" i="10"/>
  <c r="AB18" i="10"/>
  <c r="AC18" i="10"/>
  <c r="AD18" i="10"/>
  <c r="AE18" i="10"/>
  <c r="Y19" i="10"/>
  <c r="Z19" i="10"/>
  <c r="AA19" i="10"/>
  <c r="AB19" i="10"/>
  <c r="AC19" i="10"/>
  <c r="AD19" i="10"/>
  <c r="AE19" i="10"/>
  <c r="Y20" i="10"/>
  <c r="Z20" i="10"/>
  <c r="AA20" i="10"/>
  <c r="AB20" i="10"/>
  <c r="AC20" i="10"/>
  <c r="AD20" i="10"/>
  <c r="AE20" i="10"/>
  <c r="Y21" i="10"/>
  <c r="Z21" i="10"/>
  <c r="AA21" i="10"/>
  <c r="AB21" i="10"/>
  <c r="AC21" i="10"/>
  <c r="AD21" i="10"/>
  <c r="AE21" i="10"/>
  <c r="Y22" i="10"/>
  <c r="Z22" i="10"/>
  <c r="AA22" i="10"/>
  <c r="AB22" i="10"/>
  <c r="AC22" i="10"/>
  <c r="AD22" i="10"/>
  <c r="AE22" i="10"/>
  <c r="Y23" i="10"/>
  <c r="Z23" i="10"/>
  <c r="AA23" i="10"/>
  <c r="AB23" i="10"/>
  <c r="AC23" i="10"/>
  <c r="AD23" i="10"/>
  <c r="AE23" i="10"/>
  <c r="Y24" i="10"/>
  <c r="Z24" i="10"/>
  <c r="AA24" i="10"/>
  <c r="AD24" i="10"/>
  <c r="AE24" i="10"/>
  <c r="Y25" i="10"/>
  <c r="Z25" i="10"/>
  <c r="AA25" i="10"/>
  <c r="AD25" i="10"/>
  <c r="AE25" i="10"/>
  <c r="Y26" i="10"/>
  <c r="Z26" i="10"/>
  <c r="AA26" i="10"/>
  <c r="AD26" i="10"/>
  <c r="AE26" i="10"/>
  <c r="Y27" i="10"/>
  <c r="Z27" i="10"/>
  <c r="AA27" i="10"/>
  <c r="AB27" i="10"/>
  <c r="AC27" i="10"/>
  <c r="AD27" i="10"/>
  <c r="AE27" i="10"/>
  <c r="Y28" i="10"/>
  <c r="Z28" i="10"/>
  <c r="AA28" i="10"/>
  <c r="AB28" i="10"/>
  <c r="AC28" i="10"/>
  <c r="AD28" i="10"/>
  <c r="AE28" i="10"/>
  <c r="Z13" i="10"/>
  <c r="AA13" i="10"/>
  <c r="AB13" i="10"/>
  <c r="AC13" i="10"/>
  <c r="AD13" i="10"/>
  <c r="AE13" i="10"/>
  <c r="Y13" i="10"/>
  <c r="Q24" i="10"/>
  <c r="AN82" i="10" l="1"/>
  <c r="U82" i="10"/>
  <c r="AN81" i="10"/>
  <c r="U81" i="10"/>
  <c r="AN80" i="10"/>
  <c r="U80" i="10"/>
  <c r="AN79" i="10"/>
  <c r="U79" i="10"/>
  <c r="AN78" i="10"/>
  <c r="U78" i="10"/>
  <c r="AN77" i="10"/>
  <c r="U77" i="10"/>
  <c r="AN76" i="10"/>
  <c r="U76" i="10"/>
  <c r="AN75" i="10"/>
  <c r="U75" i="10"/>
  <c r="AN74" i="10"/>
  <c r="U74" i="10"/>
  <c r="AN73" i="10"/>
  <c r="U73" i="10"/>
  <c r="AN72" i="10"/>
  <c r="U72" i="10"/>
  <c r="AN71" i="10"/>
  <c r="U71" i="10"/>
  <c r="AN70" i="10"/>
  <c r="U70" i="10"/>
  <c r="AN69" i="10"/>
  <c r="U69" i="10"/>
  <c r="AN68" i="10"/>
  <c r="U68" i="10"/>
  <c r="AN67" i="10"/>
  <c r="U67" i="10"/>
  <c r="M65" i="10"/>
  <c r="AN64" i="10"/>
  <c r="U64" i="10"/>
  <c r="AN63" i="10"/>
  <c r="U63" i="10"/>
  <c r="AN62" i="10"/>
  <c r="U62" i="10"/>
  <c r="AN61" i="10"/>
  <c r="U61" i="10"/>
  <c r="AN60" i="10"/>
  <c r="U60" i="10"/>
  <c r="AN59" i="10"/>
  <c r="U59" i="10"/>
  <c r="AN58" i="10"/>
  <c r="U58" i="10"/>
  <c r="AN57" i="10"/>
  <c r="U57" i="10"/>
  <c r="AN56" i="10"/>
  <c r="U56" i="10"/>
  <c r="AN55" i="10"/>
  <c r="U55" i="10"/>
  <c r="AN54" i="10"/>
  <c r="U54" i="10"/>
  <c r="AN53" i="10"/>
  <c r="U53" i="10"/>
  <c r="AN52" i="10"/>
  <c r="U52" i="10"/>
  <c r="AN51" i="10"/>
  <c r="U51" i="10"/>
  <c r="AN50" i="10"/>
  <c r="U50" i="10"/>
  <c r="AN49" i="10"/>
  <c r="U49" i="10"/>
  <c r="AN46" i="10"/>
  <c r="U46" i="10"/>
  <c r="AN45" i="10"/>
  <c r="U45" i="10"/>
  <c r="AN44" i="10"/>
  <c r="U44" i="10"/>
  <c r="AN43" i="10"/>
  <c r="U43" i="10"/>
  <c r="AN42" i="10"/>
  <c r="U42" i="10"/>
  <c r="AN41" i="10"/>
  <c r="U41" i="10"/>
  <c r="M29" i="10"/>
  <c r="AN40" i="10"/>
  <c r="U40" i="10"/>
  <c r="AN39" i="10"/>
  <c r="U39" i="10"/>
  <c r="AN38" i="10"/>
  <c r="U38" i="10"/>
  <c r="AN37" i="10"/>
  <c r="U37" i="10"/>
  <c r="AN36" i="10"/>
  <c r="U36" i="10"/>
  <c r="AN35" i="10"/>
  <c r="U35" i="10"/>
  <c r="AN34" i="10"/>
  <c r="U34" i="10"/>
  <c r="AN33" i="10"/>
  <c r="U33" i="10"/>
  <c r="AN32" i="10"/>
  <c r="U32" i="10"/>
  <c r="AN31" i="10"/>
  <c r="U31" i="10"/>
  <c r="AF29" i="10"/>
  <c r="AN28" i="10"/>
  <c r="U28" i="10"/>
  <c r="AN27" i="10"/>
  <c r="U27" i="10"/>
  <c r="AN26" i="10"/>
  <c r="U26" i="10"/>
  <c r="AN25" i="10"/>
  <c r="U25" i="10"/>
  <c r="AN24" i="10"/>
  <c r="U24" i="10"/>
  <c r="AN23" i="10"/>
  <c r="U23" i="10"/>
  <c r="AN22" i="10"/>
  <c r="U22" i="10"/>
  <c r="AN21" i="10"/>
  <c r="U21" i="10"/>
  <c r="AN20" i="10"/>
  <c r="U20" i="10"/>
  <c r="AN19" i="10"/>
  <c r="U19" i="10"/>
  <c r="AN18" i="10"/>
  <c r="U18" i="10"/>
  <c r="AN17" i="10"/>
  <c r="U17" i="10"/>
  <c r="AN16" i="10"/>
  <c r="U16" i="10"/>
  <c r="AN15" i="10"/>
  <c r="U15" i="10"/>
  <c r="AN14" i="10"/>
  <c r="U14" i="10"/>
  <c r="AN13" i="10"/>
  <c r="U13" i="10"/>
  <c r="AF11" i="10"/>
  <c r="M11" i="10"/>
  <c r="AF65" i="10" l="1"/>
  <c r="AF47" i="10"/>
  <c r="M47" i="10"/>
  <c r="X28" i="8"/>
  <c r="X27" i="8"/>
  <c r="X26" i="8"/>
  <c r="AE79" i="9" l="1"/>
  <c r="AE78" i="9"/>
  <c r="AE77" i="9"/>
  <c r="AE76" i="9"/>
  <c r="AE75" i="9"/>
  <c r="AE74" i="9"/>
  <c r="AE73" i="9"/>
  <c r="AD73" i="9"/>
  <c r="AE71" i="9"/>
  <c r="AE70" i="9"/>
  <c r="AE69" i="9"/>
  <c r="AE68" i="9"/>
  <c r="AE64" i="9" s="1"/>
  <c r="AE67" i="9"/>
  <c r="AE66" i="9"/>
  <c r="AO79" i="9"/>
  <c r="AM81" i="9"/>
  <c r="AM80" i="9"/>
  <c r="AM79" i="9"/>
  <c r="Y79" i="9"/>
  <c r="AM78" i="9"/>
  <c r="Y78" i="9"/>
  <c r="AM77" i="9"/>
  <c r="Y77" i="9"/>
  <c r="AM76" i="9"/>
  <c r="AM75" i="9"/>
  <c r="AM74" i="9"/>
  <c r="AM73" i="9"/>
  <c r="AM72" i="9"/>
  <c r="AM71" i="9"/>
  <c r="AM70" i="9"/>
  <c r="AM69" i="9"/>
  <c r="AM68" i="9"/>
  <c r="AG67" i="9"/>
  <c r="AM67" i="9" s="1"/>
  <c r="AM66" i="9"/>
  <c r="K75" i="9"/>
  <c r="K69" i="9"/>
  <c r="K66" i="9"/>
  <c r="S81" i="9"/>
  <c r="S80" i="9"/>
  <c r="S79" i="9"/>
  <c r="K79" i="9"/>
  <c r="E79" i="9"/>
  <c r="S78" i="9"/>
  <c r="K78" i="9"/>
  <c r="E78" i="9"/>
  <c r="S77" i="9"/>
  <c r="K77" i="9"/>
  <c r="E77" i="9"/>
  <c r="S76" i="9"/>
  <c r="K76" i="9"/>
  <c r="S75" i="9"/>
  <c r="S74" i="9"/>
  <c r="K74" i="9"/>
  <c r="S73" i="9"/>
  <c r="K73" i="9"/>
  <c r="S72" i="9"/>
  <c r="S71" i="9"/>
  <c r="K71" i="9"/>
  <c r="S70" i="9"/>
  <c r="K70" i="9"/>
  <c r="S69" i="9"/>
  <c r="S68" i="9"/>
  <c r="K68" i="9"/>
  <c r="M67" i="9"/>
  <c r="S67" i="9" s="1"/>
  <c r="K67" i="9"/>
  <c r="S66" i="9"/>
  <c r="AE61" i="9"/>
  <c r="AE60" i="9"/>
  <c r="AE59" i="9"/>
  <c r="AE58" i="9"/>
  <c r="AE56" i="9"/>
  <c r="AE55" i="9"/>
  <c r="AE53" i="9"/>
  <c r="AE52" i="9"/>
  <c r="K53" i="9"/>
  <c r="K52" i="9"/>
  <c r="AE50" i="9"/>
  <c r="AE49" i="9"/>
  <c r="Y61" i="9"/>
  <c r="Y60" i="9"/>
  <c r="Y59" i="9"/>
  <c r="AG49" i="9"/>
  <c r="AO62" i="9"/>
  <c r="AM63" i="9"/>
  <c r="AM62" i="9"/>
  <c r="AM61" i="9"/>
  <c r="AM60" i="9"/>
  <c r="AM59" i="9"/>
  <c r="AM58" i="9"/>
  <c r="AM57" i="9"/>
  <c r="AM56" i="9"/>
  <c r="AM55" i="9"/>
  <c r="AM54" i="9"/>
  <c r="AM53" i="9"/>
  <c r="AM52" i="9"/>
  <c r="AM51" i="9"/>
  <c r="AM50" i="9"/>
  <c r="AM49" i="9"/>
  <c r="AM48" i="9"/>
  <c r="K50" i="9"/>
  <c r="K49" i="9"/>
  <c r="S63" i="9"/>
  <c r="S62" i="9"/>
  <c r="S61" i="9"/>
  <c r="K61" i="9"/>
  <c r="S60" i="9"/>
  <c r="K60" i="9"/>
  <c r="S59" i="9"/>
  <c r="K59" i="9"/>
  <c r="S58" i="9"/>
  <c r="K58" i="9"/>
  <c r="S57" i="9"/>
  <c r="S56" i="9"/>
  <c r="K56" i="9"/>
  <c r="S55" i="9"/>
  <c r="K55" i="9"/>
  <c r="S54" i="9"/>
  <c r="S53" i="9"/>
  <c r="S52" i="9"/>
  <c r="S51" i="9"/>
  <c r="S50" i="9"/>
  <c r="S49" i="9"/>
  <c r="S48" i="9"/>
  <c r="AO48" i="9"/>
  <c r="AE42" i="9"/>
  <c r="AE43" i="9"/>
  <c r="AE41" i="9"/>
  <c r="AE40" i="9"/>
  <c r="AE38" i="9"/>
  <c r="AE37" i="9"/>
  <c r="AM45" i="9"/>
  <c r="AM44" i="9"/>
  <c r="AM43" i="9"/>
  <c r="AM42" i="9"/>
  <c r="AM41" i="9"/>
  <c r="AE28" i="9"/>
  <c r="AM40" i="9"/>
  <c r="AM39" i="9"/>
  <c r="AM38" i="9"/>
  <c r="AM37" i="9"/>
  <c r="AM36" i="9"/>
  <c r="AM35" i="9"/>
  <c r="AM34" i="9"/>
  <c r="AM33" i="9"/>
  <c r="AM32" i="9"/>
  <c r="AM31" i="9"/>
  <c r="AM30" i="9"/>
  <c r="K42" i="9"/>
  <c r="K43" i="9"/>
  <c r="K41" i="9"/>
  <c r="AE24" i="9"/>
  <c r="AE25" i="9"/>
  <c r="AE23" i="9"/>
  <c r="AO31" i="9"/>
  <c r="K40" i="9"/>
  <c r="K38" i="9"/>
  <c r="K37" i="9"/>
  <c r="S45" i="9"/>
  <c r="S44" i="9"/>
  <c r="S43" i="9"/>
  <c r="S42" i="9"/>
  <c r="S41" i="9"/>
  <c r="S40" i="9"/>
  <c r="S39" i="9"/>
  <c r="S38" i="9"/>
  <c r="S37" i="9"/>
  <c r="S36" i="9"/>
  <c r="S35" i="9"/>
  <c r="S34" i="9"/>
  <c r="S33" i="9"/>
  <c r="S32" i="9"/>
  <c r="S31" i="9"/>
  <c r="S30" i="9"/>
  <c r="K25" i="9"/>
  <c r="S9" i="9"/>
  <c r="S8" i="9"/>
  <c r="S7" i="9"/>
  <c r="S6" i="9"/>
  <c r="S5" i="9"/>
  <c r="S4" i="9"/>
  <c r="S3" i="9"/>
  <c r="T10" i="8"/>
  <c r="T31" i="8"/>
  <c r="S31" i="8"/>
  <c r="K31" i="8"/>
  <c r="T30" i="8"/>
  <c r="S30" i="8"/>
  <c r="K30" i="8"/>
  <c r="T29" i="8"/>
  <c r="S29" i="8"/>
  <c r="K29" i="8"/>
  <c r="T28" i="8"/>
  <c r="S28" i="8"/>
  <c r="K28" i="8"/>
  <c r="T27" i="8"/>
  <c r="S27" i="8"/>
  <c r="K27" i="8"/>
  <c r="T26" i="8"/>
  <c r="S26" i="8"/>
  <c r="K26" i="8"/>
  <c r="T25" i="8"/>
  <c r="S25" i="8"/>
  <c r="K25" i="8"/>
  <c r="T24" i="8"/>
  <c r="S24" i="8"/>
  <c r="K24" i="8"/>
  <c r="T23" i="8"/>
  <c r="S23" i="8"/>
  <c r="K23" i="8"/>
  <c r="T22" i="8"/>
  <c r="S22" i="8"/>
  <c r="K22" i="8"/>
  <c r="T16" i="8"/>
  <c r="T13" i="8"/>
  <c r="K11" i="8"/>
  <c r="K12" i="8"/>
  <c r="K13" i="8"/>
  <c r="K10" i="8"/>
  <c r="K16" i="8"/>
  <c r="K1" i="9" l="1"/>
  <c r="K64" i="9"/>
  <c r="AE46" i="9"/>
  <c r="K46" i="9"/>
  <c r="K28" i="9"/>
  <c r="K20" i="8"/>
  <c r="AM27" i="9"/>
  <c r="AM26" i="9"/>
  <c r="AM25" i="9"/>
  <c r="AM24" i="9"/>
  <c r="AM23" i="9"/>
  <c r="AM22" i="9"/>
  <c r="AM21" i="9"/>
  <c r="AM20" i="9"/>
  <c r="AM19" i="9"/>
  <c r="AM18" i="9"/>
  <c r="AM17" i="9"/>
  <c r="AM16" i="9"/>
  <c r="AM15" i="9"/>
  <c r="AM14" i="9"/>
  <c r="AM13" i="9"/>
  <c r="AM12" i="9"/>
  <c r="AE10" i="9"/>
  <c r="K24" i="9"/>
  <c r="K23" i="9"/>
  <c r="S27" i="9"/>
  <c r="S26" i="9"/>
  <c r="S25" i="9"/>
  <c r="S24" i="9"/>
  <c r="S23" i="9"/>
  <c r="S22" i="9"/>
  <c r="AP31" i="9" s="1"/>
  <c r="S21" i="9"/>
  <c r="S20" i="9"/>
  <c r="S19" i="9"/>
  <c r="S18" i="9"/>
  <c r="S17" i="9"/>
  <c r="S16" i="9"/>
  <c r="S15" i="9"/>
  <c r="S14" i="9"/>
  <c r="S13" i="9"/>
  <c r="S12" i="9"/>
  <c r="AP79" i="9"/>
  <c r="AP62" i="9"/>
  <c r="AP48" i="9"/>
  <c r="AP8" i="9"/>
  <c r="K15" i="8"/>
  <c r="K14" i="8"/>
  <c r="K8" i="8"/>
  <c r="K9" i="8"/>
  <c r="K7" i="8"/>
  <c r="T15" i="8"/>
  <c r="T14" i="8"/>
  <c r="T8" i="8"/>
  <c r="T9" i="8"/>
  <c r="T7" i="8"/>
  <c r="T5" i="8"/>
  <c r="T6" i="8"/>
  <c r="T4" i="8"/>
  <c r="K5" i="8"/>
  <c r="K6" i="8"/>
  <c r="K4" i="8"/>
  <c r="T12" i="8"/>
  <c r="T11" i="8"/>
  <c r="K18" i="8"/>
  <c r="K17" i="8"/>
  <c r="T18" i="8"/>
  <c r="S9" i="8"/>
  <c r="K10" i="9" l="1"/>
  <c r="AP12" i="9"/>
  <c r="AP7" i="9" s="1"/>
  <c r="S18" i="8"/>
  <c r="T17" i="8"/>
  <c r="S17" i="8"/>
  <c r="S16" i="8"/>
  <c r="S15" i="8"/>
  <c r="S14" i="8"/>
  <c r="S13" i="8"/>
  <c r="S12" i="8"/>
  <c r="S11" i="8"/>
  <c r="S10" i="8"/>
  <c r="S8" i="8"/>
  <c r="S7" i="8"/>
  <c r="S6" i="8"/>
  <c r="S5" i="8"/>
  <c r="S4" i="8"/>
  <c r="T3" i="8"/>
  <c r="S3" i="8"/>
  <c r="K3" i="8"/>
  <c r="K1" i="8" s="1"/>
  <c r="AP7" i="5" l="1"/>
  <c r="AP8" i="5"/>
  <c r="AP12" i="5"/>
  <c r="T17" i="1" l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16" i="5"/>
  <c r="T15" i="5"/>
  <c r="T13" i="5"/>
  <c r="T14" i="5"/>
  <c r="T12" i="5"/>
  <c r="T9" i="5"/>
  <c r="T10" i="5"/>
  <c r="T11" i="5"/>
  <c r="T8" i="5"/>
  <c r="T7" i="5"/>
  <c r="T6" i="5"/>
  <c r="T4" i="5"/>
  <c r="T5" i="5"/>
  <c r="T3" i="5"/>
  <c r="T2" i="5"/>
  <c r="O7" i="6" l="1"/>
  <c r="O6" i="6"/>
  <c r="P6" i="6" s="1"/>
  <c r="O11" i="6"/>
  <c r="P11" i="6" s="1"/>
  <c r="O9" i="6"/>
  <c r="P9" i="6" s="1"/>
  <c r="O3" i="6"/>
  <c r="O12" i="6"/>
  <c r="P12" i="6" s="1"/>
  <c r="O4" i="6"/>
  <c r="P4" i="6" s="1"/>
  <c r="O10" i="6"/>
  <c r="P10" i="6" s="1"/>
  <c r="O8" i="6"/>
  <c r="P8" i="6" s="1"/>
  <c r="O5" i="6"/>
  <c r="P5" i="6" s="1"/>
  <c r="O2" i="6"/>
  <c r="P7" i="6"/>
  <c r="P3" i="6"/>
  <c r="N49" i="7"/>
  <c r="O49" i="7" s="1"/>
  <c r="O48" i="7"/>
  <c r="N48" i="7"/>
  <c r="N47" i="7"/>
  <c r="O47" i="7" s="1"/>
  <c r="O46" i="7"/>
  <c r="N46" i="7"/>
  <c r="N45" i="7"/>
  <c r="O45" i="7" s="1"/>
  <c r="O44" i="7"/>
  <c r="N44" i="7"/>
  <c r="N43" i="7"/>
  <c r="O43" i="7" s="1"/>
  <c r="O42" i="7"/>
  <c r="N42" i="7"/>
  <c r="N41" i="7"/>
  <c r="O41" i="7" s="1"/>
  <c r="O40" i="7"/>
  <c r="N40" i="7"/>
  <c r="N39" i="7"/>
  <c r="O39" i="7" s="1"/>
  <c r="O38" i="7"/>
  <c r="N38" i="7"/>
  <c r="N37" i="7"/>
  <c r="O37" i="7" s="1"/>
  <c r="O36" i="7"/>
  <c r="N36" i="7"/>
  <c r="N35" i="7"/>
  <c r="O35" i="7" s="1"/>
  <c r="O34" i="7"/>
  <c r="N34" i="7"/>
  <c r="N33" i="7"/>
  <c r="O33" i="7" s="1"/>
  <c r="O32" i="7"/>
  <c r="N32" i="7"/>
  <c r="N31" i="7"/>
  <c r="O31" i="7" s="1"/>
  <c r="O30" i="7"/>
  <c r="N30" i="7"/>
  <c r="N29" i="7"/>
  <c r="O29" i="7" s="1"/>
  <c r="O28" i="7"/>
  <c r="N28" i="7"/>
  <c r="N27" i="7"/>
  <c r="O27" i="7" s="1"/>
  <c r="O26" i="7"/>
  <c r="N26" i="7"/>
  <c r="N25" i="7"/>
  <c r="O25" i="7" s="1"/>
  <c r="O24" i="7"/>
  <c r="N24" i="7"/>
  <c r="N23" i="7"/>
  <c r="O23" i="7" s="1"/>
  <c r="O22" i="7"/>
  <c r="N22" i="7"/>
  <c r="N21" i="7"/>
  <c r="O21" i="7" s="1"/>
  <c r="O20" i="7"/>
  <c r="N20" i="7"/>
  <c r="N19" i="7"/>
  <c r="O19" i="7" s="1"/>
  <c r="O18" i="7"/>
  <c r="N18" i="7"/>
  <c r="N17" i="7"/>
  <c r="O17" i="7" s="1"/>
  <c r="O16" i="7"/>
  <c r="N16" i="7"/>
  <c r="N15" i="7"/>
  <c r="O15" i="7" s="1"/>
  <c r="O14" i="7"/>
  <c r="N14" i="7"/>
  <c r="N13" i="7"/>
  <c r="O13" i="7" s="1"/>
  <c r="O12" i="7"/>
  <c r="N12" i="7"/>
  <c r="N11" i="7"/>
  <c r="O11" i="7" s="1"/>
  <c r="O10" i="7"/>
  <c r="N10" i="7"/>
  <c r="N9" i="7"/>
  <c r="O9" i="7" s="1"/>
  <c r="O8" i="7"/>
  <c r="N8" i="7"/>
  <c r="N7" i="7"/>
  <c r="O7" i="7" s="1"/>
  <c r="O6" i="7"/>
  <c r="N6" i="7"/>
  <c r="N5" i="7"/>
  <c r="O5" i="7" s="1"/>
  <c r="O4" i="7"/>
  <c r="N4" i="7"/>
  <c r="N3" i="7"/>
  <c r="O3" i="7" s="1"/>
  <c r="O2" i="7"/>
  <c r="N2" i="7"/>
  <c r="AE71" i="5" l="1"/>
  <c r="AE72" i="5"/>
  <c r="AE73" i="5"/>
  <c r="AE74" i="5"/>
  <c r="AE75" i="5"/>
  <c r="AE76" i="5"/>
  <c r="AE80" i="5"/>
  <c r="AE81" i="5"/>
  <c r="AE82" i="5"/>
  <c r="AE84" i="5"/>
  <c r="AE83" i="5"/>
  <c r="AO77" i="5"/>
  <c r="AP77" i="5" s="1"/>
  <c r="AE79" i="5"/>
  <c r="AE78" i="5"/>
  <c r="AE77" i="5"/>
  <c r="AE70" i="5"/>
  <c r="AE68" i="5" s="1"/>
  <c r="AM84" i="5"/>
  <c r="AM83" i="5"/>
  <c r="AM82" i="5"/>
  <c r="Z82" i="5"/>
  <c r="AM81" i="5"/>
  <c r="Z81" i="5"/>
  <c r="AM80" i="5"/>
  <c r="Z80" i="5"/>
  <c r="AM79" i="5"/>
  <c r="Y79" i="5"/>
  <c r="AM78" i="5"/>
  <c r="Y78" i="5"/>
  <c r="AM77" i="5"/>
  <c r="Y77" i="5"/>
  <c r="AM76" i="5"/>
  <c r="AM75" i="5"/>
  <c r="AM74" i="5"/>
  <c r="AM73" i="5"/>
  <c r="AM72" i="5"/>
  <c r="AM71" i="5"/>
  <c r="AM70" i="5"/>
  <c r="Y70" i="5"/>
  <c r="K84" i="5"/>
  <c r="K83" i="5"/>
  <c r="K72" i="5"/>
  <c r="K71" i="5"/>
  <c r="S84" i="5"/>
  <c r="S83" i="5"/>
  <c r="S82" i="5"/>
  <c r="K82" i="5"/>
  <c r="F82" i="5"/>
  <c r="S81" i="5"/>
  <c r="K81" i="5"/>
  <c r="F81" i="5"/>
  <c r="S80" i="5"/>
  <c r="K80" i="5"/>
  <c r="F80" i="5"/>
  <c r="S79" i="5"/>
  <c r="K79" i="5"/>
  <c r="E79" i="5"/>
  <c r="S78" i="5"/>
  <c r="K78" i="5"/>
  <c r="E78" i="5"/>
  <c r="S77" i="5"/>
  <c r="K77" i="5"/>
  <c r="E77" i="5"/>
  <c r="S76" i="5"/>
  <c r="K76" i="5"/>
  <c r="S75" i="5"/>
  <c r="K75" i="5"/>
  <c r="S74" i="5"/>
  <c r="K74" i="5"/>
  <c r="S73" i="5"/>
  <c r="K73" i="5"/>
  <c r="S72" i="5"/>
  <c r="S71" i="5"/>
  <c r="S70" i="5"/>
  <c r="K70" i="5"/>
  <c r="K68" i="5" s="1"/>
  <c r="E70" i="5"/>
  <c r="AE65" i="5"/>
  <c r="AE64" i="5"/>
  <c r="AE63" i="5"/>
  <c r="AE62" i="5"/>
  <c r="AE61" i="5"/>
  <c r="AE60" i="5"/>
  <c r="AE59" i="5"/>
  <c r="AE58" i="5"/>
  <c r="AE57" i="5"/>
  <c r="AE56" i="5"/>
  <c r="AE53" i="5"/>
  <c r="AE51" i="5" s="1"/>
  <c r="Y62" i="5"/>
  <c r="Y61" i="5"/>
  <c r="Y60" i="5"/>
  <c r="Y53" i="5"/>
  <c r="AO60" i="5"/>
  <c r="AP60" i="5" s="1"/>
  <c r="AM67" i="5"/>
  <c r="AM66" i="5"/>
  <c r="AM65" i="5"/>
  <c r="Z65" i="5"/>
  <c r="AM64" i="5"/>
  <c r="Z64" i="5"/>
  <c r="AM63" i="5"/>
  <c r="Z63" i="5"/>
  <c r="AM62" i="5"/>
  <c r="AM61" i="5"/>
  <c r="AM60" i="5"/>
  <c r="AM59" i="5"/>
  <c r="AM58" i="5"/>
  <c r="AM57" i="5"/>
  <c r="AM56" i="5"/>
  <c r="AM55" i="5"/>
  <c r="AM54" i="5"/>
  <c r="AM53" i="5"/>
  <c r="K59" i="5"/>
  <c r="K58" i="5"/>
  <c r="K57" i="5"/>
  <c r="K56" i="5"/>
  <c r="K53" i="5"/>
  <c r="K51" i="5" s="1"/>
  <c r="S67" i="5"/>
  <c r="S66" i="5"/>
  <c r="S65" i="5"/>
  <c r="K65" i="5"/>
  <c r="F65" i="5"/>
  <c r="S64" i="5"/>
  <c r="K64" i="5"/>
  <c r="F64" i="5"/>
  <c r="S63" i="5"/>
  <c r="K63" i="5"/>
  <c r="F63" i="5"/>
  <c r="S62" i="5"/>
  <c r="K62" i="5"/>
  <c r="S61" i="5"/>
  <c r="K61" i="5"/>
  <c r="S60" i="5"/>
  <c r="K60" i="5"/>
  <c r="S59" i="5"/>
  <c r="S58" i="5"/>
  <c r="S57" i="5"/>
  <c r="S56" i="5"/>
  <c r="S55" i="5"/>
  <c r="S54" i="5"/>
  <c r="S53" i="5"/>
  <c r="AP46" i="5"/>
  <c r="Z48" i="5"/>
  <c r="Z47" i="5"/>
  <c r="Z46" i="5"/>
  <c r="AE48" i="5"/>
  <c r="AE47" i="5"/>
  <c r="AE46" i="5"/>
  <c r="AE45" i="5"/>
  <c r="AE44" i="5"/>
  <c r="AE34" i="5" s="1"/>
  <c r="AE43" i="5"/>
  <c r="AM50" i="5"/>
  <c r="AM49" i="5"/>
  <c r="AM48" i="5"/>
  <c r="AM47" i="5"/>
  <c r="AM46" i="5"/>
  <c r="AM45" i="5"/>
  <c r="AM44" i="5"/>
  <c r="AM43" i="5"/>
  <c r="AM42" i="5"/>
  <c r="AM41" i="5"/>
  <c r="AM40" i="5"/>
  <c r="AM39" i="5"/>
  <c r="AM38" i="5"/>
  <c r="AM37" i="5"/>
  <c r="AM36" i="5"/>
  <c r="K45" i="5"/>
  <c r="K44" i="5"/>
  <c r="K43" i="5"/>
  <c r="K34" i="5" s="1"/>
  <c r="K48" i="5"/>
  <c r="K47" i="5"/>
  <c r="K46" i="5"/>
  <c r="AE31" i="5"/>
  <c r="AE30" i="5"/>
  <c r="AE29" i="5"/>
  <c r="AE17" i="5" s="1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K31" i="5"/>
  <c r="K30" i="5"/>
  <c r="K29" i="5"/>
  <c r="K17" i="5" s="1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S16" i="5"/>
  <c r="K16" i="5"/>
  <c r="S15" i="5"/>
  <c r="K15" i="5"/>
  <c r="S14" i="5"/>
  <c r="K14" i="5"/>
  <c r="S13" i="5"/>
  <c r="K13" i="5"/>
  <c r="S12" i="5"/>
  <c r="K12" i="5"/>
  <c r="S11" i="5"/>
  <c r="K11" i="5"/>
  <c r="S10" i="5"/>
  <c r="K10" i="5"/>
  <c r="S9" i="5"/>
  <c r="K9" i="5"/>
  <c r="S8" i="5"/>
  <c r="K8" i="5"/>
  <c r="S7" i="5"/>
  <c r="K7" i="5"/>
  <c r="S6" i="5"/>
  <c r="K6" i="5"/>
  <c r="S5" i="5"/>
  <c r="K5" i="5"/>
  <c r="S4" i="5"/>
  <c r="K4" i="5"/>
  <c r="S3" i="5"/>
  <c r="K3" i="5"/>
  <c r="S2" i="5"/>
  <c r="K2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7" i="1"/>
  <c r="K17" i="1"/>
  <c r="S16" i="1"/>
  <c r="K16" i="1"/>
  <c r="S15" i="1"/>
  <c r="K15" i="1"/>
  <c r="S14" i="1"/>
  <c r="K14" i="1"/>
  <c r="S13" i="1"/>
  <c r="K13" i="1"/>
  <c r="S12" i="1"/>
  <c r="K12" i="1"/>
  <c r="S11" i="1"/>
  <c r="K11" i="1"/>
  <c r="S10" i="1"/>
  <c r="K10" i="1"/>
  <c r="S9" i="1"/>
  <c r="K9" i="1"/>
  <c r="S8" i="1"/>
  <c r="K8" i="1"/>
  <c r="S7" i="1"/>
  <c r="K7" i="1"/>
  <c r="S6" i="1"/>
  <c r="K6" i="1"/>
  <c r="S5" i="1"/>
  <c r="K5" i="1"/>
  <c r="S4" i="1"/>
  <c r="K4" i="1"/>
  <c r="K1" i="1" s="1"/>
  <c r="S3" i="1"/>
  <c r="K3" i="1"/>
  <c r="P2" i="6"/>
  <c r="AO29" i="5" l="1"/>
  <c r="AP29" i="5" s="1"/>
</calcChain>
</file>

<file path=xl/sharedStrings.xml><?xml version="1.0" encoding="utf-8"?>
<sst xmlns="http://schemas.openxmlformats.org/spreadsheetml/2006/main" count="1549" uniqueCount="143">
  <si>
    <t>Num</t>
  </si>
  <si>
    <t>POS</t>
  </si>
  <si>
    <t>ESP</t>
  </si>
  <si>
    <t>Po</t>
  </si>
  <si>
    <t>De</t>
  </si>
  <si>
    <t>Cr</t>
  </si>
  <si>
    <t>Ex</t>
  </si>
  <si>
    <t>Ps</t>
  </si>
  <si>
    <t>An</t>
  </si>
  <si>
    <t>PA</t>
  </si>
  <si>
    <t>Sueldo</t>
  </si>
  <si>
    <t>E_Po</t>
  </si>
  <si>
    <t>E_De</t>
  </si>
  <si>
    <t>E_Cr</t>
  </si>
  <si>
    <t>E_Ex</t>
  </si>
  <si>
    <t>E_Ps</t>
  </si>
  <si>
    <t>E_An</t>
  </si>
  <si>
    <t>E_PA</t>
  </si>
  <si>
    <t>E_TOTAL</t>
  </si>
  <si>
    <t>#1</t>
  </si>
  <si>
    <t>POR</t>
  </si>
  <si>
    <t>#2</t>
  </si>
  <si>
    <t>LAT</t>
  </si>
  <si>
    <t>#3</t>
  </si>
  <si>
    <t>#4</t>
  </si>
  <si>
    <t>#5</t>
  </si>
  <si>
    <t>#6</t>
  </si>
  <si>
    <t>#7</t>
  </si>
  <si>
    <t>#8</t>
  </si>
  <si>
    <t>#9</t>
  </si>
  <si>
    <t>INN</t>
  </si>
  <si>
    <t>#11</t>
  </si>
  <si>
    <t>EXT</t>
  </si>
  <si>
    <t>#12</t>
  </si>
  <si>
    <t>#13</t>
  </si>
  <si>
    <t>#14</t>
  </si>
  <si>
    <t>DAV</t>
  </si>
  <si>
    <t>#15</t>
  </si>
  <si>
    <t>PORTERO</t>
  </si>
  <si>
    <t>86,6%+59,7%</t>
  </si>
  <si>
    <t>DEF</t>
  </si>
  <si>
    <t>42,5%+27,6%</t>
  </si>
  <si>
    <t>IMP</t>
  </si>
  <si>
    <t>DLN</t>
  </si>
  <si>
    <t>DChL</t>
  </si>
  <si>
    <t>DCN</t>
  </si>
  <si>
    <t>91,9%+41,4%</t>
  </si>
  <si>
    <t>75,4%+70,8%</t>
  </si>
  <si>
    <t>100%+35%</t>
  </si>
  <si>
    <t>JUG</t>
  </si>
  <si>
    <t>CAB</t>
  </si>
  <si>
    <t>ExtN</t>
  </si>
  <si>
    <t>InNorm</t>
  </si>
  <si>
    <t>IHL</t>
  </si>
  <si>
    <t>34,9%+20,1%</t>
  </si>
  <si>
    <t>14%+40%</t>
  </si>
  <si>
    <t>34,8%+29,1%</t>
  </si>
  <si>
    <t>ANO</t>
  </si>
  <si>
    <t>PAS</t>
  </si>
  <si>
    <t>14%+34%</t>
  </si>
  <si>
    <t>100%+26%</t>
  </si>
  <si>
    <t>14%+36,9%</t>
  </si>
  <si>
    <t>DDEF</t>
  </si>
  <si>
    <t>DDT</t>
  </si>
  <si>
    <t>58,3%+12,7%</t>
  </si>
  <si>
    <t>54,3%+25,0%</t>
  </si>
  <si>
    <t>54,3%+32,4%</t>
  </si>
  <si>
    <t>InDef</t>
  </si>
  <si>
    <t>59,4%+20,25%</t>
  </si>
  <si>
    <t>34,1%+18,5%</t>
  </si>
  <si>
    <t>24,4%+28,4%</t>
  </si>
  <si>
    <t>14,8%+19,3%</t>
  </si>
  <si>
    <t>#10</t>
  </si>
  <si>
    <t>RAP</t>
  </si>
  <si>
    <t>POT</t>
  </si>
  <si>
    <t>DC</t>
  </si>
  <si>
    <t>DD</t>
  </si>
  <si>
    <t>40%+14%</t>
  </si>
  <si>
    <t>IDEAS</t>
  </si>
  <si>
    <t>Atención precios de Porteros medio hechos</t>
  </si>
  <si>
    <t>Solamente Españoles</t>
  </si>
  <si>
    <t>Especialidades a determinar según desarrollo de la próxima temporada</t>
  </si>
  <si>
    <t>TEC</t>
  </si>
  <si>
    <t>Sem</t>
  </si>
  <si>
    <t>Tmp</t>
  </si>
  <si>
    <t>BP</t>
  </si>
  <si>
    <t>LAT/PAS</t>
  </si>
  <si>
    <t>Delantero Defensivo hay que comprarlo, no entrenarlo</t>
  </si>
  <si>
    <t>Los Laterales puros de defensa hay que comprarlos no entrenarlo</t>
  </si>
  <si>
    <t>ExtHM</t>
  </si>
  <si>
    <t>SEM</t>
  </si>
  <si>
    <t>Años</t>
  </si>
  <si>
    <t>Precio</t>
  </si>
  <si>
    <t>EUR/ENT</t>
  </si>
  <si>
    <t>S2</t>
  </si>
  <si>
    <t>&lt;=3</t>
  </si>
  <si>
    <t>[2,6]</t>
  </si>
  <si>
    <t>[13,17]</t>
  </si>
  <si>
    <t>[6,10]</t>
  </si>
  <si>
    <t>[5,9]</t>
  </si>
  <si>
    <t>[11,15]</t>
  </si>
  <si>
    <t>[10,14]</t>
  </si>
  <si>
    <t>[9,13]</t>
  </si>
  <si>
    <t>[3,7]</t>
  </si>
  <si>
    <t>[8,10]</t>
  </si>
  <si>
    <t>[4,8]</t>
  </si>
  <si>
    <t>[12,16]</t>
  </si>
  <si>
    <t>[8,12]</t>
  </si>
  <si>
    <t>&gt;=15</t>
  </si>
  <si>
    <t>S3</t>
  </si>
  <si>
    <t>[3-5]</t>
  </si>
  <si>
    <t>E_Ext</t>
  </si>
  <si>
    <t>[6,8]</t>
  </si>
  <si>
    <t>[4,6]</t>
  </si>
  <si>
    <t>[3,5]</t>
  </si>
  <si>
    <t>[5,7]</t>
  </si>
  <si>
    <t>[7,9]</t>
  </si>
  <si>
    <t>Jugadores de 2100 de potencial con destacado-brillante anotación y insuficiente en varias habilidades a precions no superiores de 2M€</t>
  </si>
  <si>
    <t>Comparador de precios si DEF o JUG es más alto que Anotación sale del comparador de anotacion</t>
  </si>
  <si>
    <t>PHMS_CAN</t>
  </si>
  <si>
    <t>debil-&gt;brillante</t>
  </si>
  <si>
    <t>#16</t>
  </si>
  <si>
    <t>3 para ext/Inn de 17-0 con especialidad y 6 lider</t>
  </si>
  <si>
    <t>Entrenar LAT/PAS para eventos</t>
  </si>
  <si>
    <t>3 INN CAB</t>
  </si>
  <si>
    <t>Entrenar ANO hasta brillante</t>
  </si>
  <si>
    <t>Entrenar JUG hasta CM</t>
  </si>
  <si>
    <t>4 DEF con jugadas (2CAB y 2 sin o POT/IMP)</t>
  </si>
  <si>
    <t>Entrenar DEF hasta CM</t>
  </si>
  <si>
    <t>Fichar 1POR/2DD y algun otro</t>
  </si>
  <si>
    <t>Entrenar BP hasta 20</t>
  </si>
  <si>
    <t>E.C.</t>
  </si>
  <si>
    <t>Jug</t>
  </si>
  <si>
    <t>E. Cubas</t>
  </si>
  <si>
    <t>V. Gomis</t>
  </si>
  <si>
    <t>J.G. Peñuela</t>
  </si>
  <si>
    <t>Año</t>
  </si>
  <si>
    <t>Dia</t>
  </si>
  <si>
    <t>PS</t>
  </si>
  <si>
    <t>Inner</t>
  </si>
  <si>
    <t>Defensa</t>
  </si>
  <si>
    <t>Portero</t>
  </si>
  <si>
    <t>Delantero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</si>
</sst>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-* #,##0\ [$€-C0A]_-;\-* #,##0\ [$€-C0A]_-;_-* &quot;-&quot;??\ [$€-C0A]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8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5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8" borderId="0" xfId="0" applyNumberFormat="1" applyFill="1" applyAlignment="1">
      <alignment horizontal="center"/>
    </xf>
    <xf numFmtId="165" fontId="0" fillId="8" borderId="0" xfId="0" applyNumberFormat="1" applyFill="1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0" fontId="0" fillId="6" borderId="0" xfId="0" applyNumberFormat="1" applyFill="1" applyAlignment="1">
      <alignment horizontal="center"/>
    </xf>
    <xf numFmtId="9" fontId="0" fillId="8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1" fillId="0" borderId="0" xfId="0" applyNumberFormat="1" applyFont="1"/>
    <xf numFmtId="0" fontId="1" fillId="0" borderId="0" xfId="0" applyFont="1"/>
    <xf numFmtId="0" fontId="3" fillId="0" borderId="1" xfId="0" applyFon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T129"/>
  <sheetViews>
    <sheetView tabSelected="1" workbookViewId="0">
      <selection activeCell="AE71" sqref="AE71"/>
    </sheetView>
  </sheetViews>
  <sheetFormatPr baseColWidth="10" defaultRowHeight="15" x14ac:dyDescent="0.25"/>
  <cols>
    <col min="1" max="1" width="5.28515625" customWidth="1"/>
    <col min="2" max="2" width="12.85546875" customWidth="1"/>
    <col min="3" max="3" width="4.5703125" bestFit="1" customWidth="1"/>
    <col min="4" max="4" width="4.5703125" customWidth="1"/>
    <col min="5" max="5" width="4" bestFit="1" customWidth="1"/>
    <col min="6" max="8" width="4.5703125" bestFit="1" customWidth="1"/>
    <col min="9" max="10" width="3.5703125" bestFit="1" customWidth="1"/>
    <col min="11" max="12" width="4.5703125" bestFit="1" customWidth="1"/>
    <col min="13" max="13" width="7.28515625" bestFit="1" customWidth="1"/>
    <col min="14" max="14" width="5.5703125" bestFit="1" customWidth="1"/>
    <col min="15" max="15" width="5.7109375" bestFit="1" customWidth="1"/>
    <col min="16" max="16" width="5.28515625" bestFit="1" customWidth="1"/>
    <col min="17" max="17" width="5.5703125" bestFit="1" customWidth="1"/>
    <col min="18" max="18" width="5.42578125" bestFit="1" customWidth="1"/>
    <col min="19" max="20" width="5.7109375" bestFit="1" customWidth="1"/>
    <col min="21" max="21" width="9.140625" bestFit="1" customWidth="1"/>
    <col min="22" max="22" width="5.5703125" bestFit="1" customWidth="1"/>
    <col min="23" max="23" width="5.140625" bestFit="1" customWidth="1"/>
    <col min="24" max="27" width="4.5703125" bestFit="1" customWidth="1"/>
    <col min="28" max="29" width="3.5703125" bestFit="1" customWidth="1"/>
    <col min="30" max="31" width="4.5703125" bestFit="1" customWidth="1"/>
    <col min="32" max="32" width="7.28515625" bestFit="1" customWidth="1"/>
    <col min="33" max="33" width="5.5703125" bestFit="1" customWidth="1"/>
    <col min="34" max="34" width="5.7109375" bestFit="1" customWidth="1"/>
    <col min="35" max="35" width="5.28515625" bestFit="1" customWidth="1"/>
    <col min="36" max="36" width="5.5703125" bestFit="1" customWidth="1"/>
    <col min="37" max="37" width="5.42578125" bestFit="1" customWidth="1"/>
    <col min="38" max="39" width="5.7109375" bestFit="1" customWidth="1"/>
    <col min="40" max="40" width="9.140625" bestFit="1" customWidth="1"/>
    <col min="41" max="41" width="5.5703125" bestFit="1" customWidth="1"/>
    <col min="42" max="42" width="5.42578125" bestFit="1" customWidth="1"/>
    <col min="43" max="44" width="5.7109375" bestFit="1" customWidth="1"/>
    <col min="45" max="45" width="9.140625" bestFit="1" customWidth="1"/>
  </cols>
  <sheetData>
    <row r="1" spans="1:40" x14ac:dyDescent="0.25">
      <c r="A1" t="s">
        <v>122</v>
      </c>
    </row>
    <row r="2" spans="1:40" x14ac:dyDescent="0.25">
      <c r="B2" t="s">
        <v>123</v>
      </c>
    </row>
    <row r="3" spans="1:40" x14ac:dyDescent="0.25">
      <c r="A3" t="s">
        <v>124</v>
      </c>
    </row>
    <row r="4" spans="1:40" x14ac:dyDescent="0.25">
      <c r="B4" t="s">
        <v>125</v>
      </c>
    </row>
    <row r="5" spans="1:40" x14ac:dyDescent="0.25">
      <c r="B5" t="s">
        <v>126</v>
      </c>
    </row>
    <row r="6" spans="1:40" x14ac:dyDescent="0.25">
      <c r="A6" t="s">
        <v>127</v>
      </c>
    </row>
    <row r="7" spans="1:40" x14ac:dyDescent="0.25">
      <c r="B7" t="s">
        <v>128</v>
      </c>
      <c r="X7">
        <f>X8-112</f>
        <v>80.5</v>
      </c>
    </row>
    <row r="8" spans="1:40" x14ac:dyDescent="0.25">
      <c r="A8" t="s">
        <v>129</v>
      </c>
      <c r="X8">
        <f>(X9+X10)*7</f>
        <v>192.5</v>
      </c>
    </row>
    <row r="9" spans="1:40" x14ac:dyDescent="0.25">
      <c r="B9" t="s">
        <v>130</v>
      </c>
      <c r="W9" t="s">
        <v>22</v>
      </c>
      <c r="X9" s="35">
        <v>13.5</v>
      </c>
    </row>
    <row r="10" spans="1:40" x14ac:dyDescent="0.25">
      <c r="W10" t="s">
        <v>138</v>
      </c>
      <c r="X10">
        <v>14</v>
      </c>
    </row>
    <row r="11" spans="1:40" x14ac:dyDescent="0.25">
      <c r="F11" s="1"/>
      <c r="G11" s="1"/>
      <c r="H11" s="1"/>
      <c r="I11" s="1"/>
      <c r="J11" s="1"/>
      <c r="K11" s="1"/>
      <c r="L11" s="1"/>
      <c r="M11" s="2">
        <f>SUM(M13:M27)</f>
        <v>970</v>
      </c>
      <c r="N11" s="1"/>
      <c r="O11" s="1"/>
      <c r="P11" s="1"/>
      <c r="Q11" s="1"/>
      <c r="R11" s="1"/>
      <c r="S11" s="1"/>
      <c r="T11" s="1"/>
      <c r="U11" s="1"/>
      <c r="Y11" s="1"/>
      <c r="Z11" s="1"/>
      <c r="AA11" s="1"/>
      <c r="AB11" s="1"/>
      <c r="AC11" s="1"/>
      <c r="AD11" s="1"/>
      <c r="AE11" s="1"/>
      <c r="AF11" s="2">
        <f>SUM(AF13:AF27)</f>
        <v>5644.4400000000005</v>
      </c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3" t="s">
        <v>0</v>
      </c>
      <c r="B12" s="3" t="s">
        <v>132</v>
      </c>
      <c r="C12" s="3" t="s">
        <v>2</v>
      </c>
      <c r="D12" s="3" t="s">
        <v>136</v>
      </c>
      <c r="E12" s="3" t="s">
        <v>137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3" t="s">
        <v>15</v>
      </c>
      <c r="S12" s="3" t="s">
        <v>16</v>
      </c>
      <c r="T12" s="3" t="s">
        <v>17</v>
      </c>
      <c r="U12" s="3" t="s">
        <v>18</v>
      </c>
      <c r="W12" s="3" t="s">
        <v>136</v>
      </c>
      <c r="X12" s="3" t="s">
        <v>137</v>
      </c>
      <c r="Y12" s="3" t="s">
        <v>3</v>
      </c>
      <c r="Z12" s="3" t="s">
        <v>4</v>
      </c>
      <c r="AA12" s="3" t="s">
        <v>5</v>
      </c>
      <c r="AB12" s="3" t="s">
        <v>6</v>
      </c>
      <c r="AC12" s="3" t="s">
        <v>7</v>
      </c>
      <c r="AD12" s="3" t="s">
        <v>8</v>
      </c>
      <c r="AE12" s="3" t="s">
        <v>9</v>
      </c>
      <c r="AF12" s="3" t="s">
        <v>10</v>
      </c>
      <c r="AG12" s="3" t="s">
        <v>11</v>
      </c>
      <c r="AH12" s="3" t="s">
        <v>12</v>
      </c>
      <c r="AI12" s="3" t="s">
        <v>13</v>
      </c>
      <c r="AJ12" s="3" t="s">
        <v>14</v>
      </c>
      <c r="AK12" s="3" t="s">
        <v>15</v>
      </c>
      <c r="AL12" s="3" t="s">
        <v>16</v>
      </c>
      <c r="AM12" s="3" t="s">
        <v>17</v>
      </c>
      <c r="AN12" s="3" t="s">
        <v>18</v>
      </c>
    </row>
    <row r="13" spans="1:40" x14ac:dyDescent="0.25">
      <c r="A13" t="s">
        <v>19</v>
      </c>
      <c r="B13" s="4"/>
      <c r="C13" s="5"/>
      <c r="D13" s="5"/>
      <c r="E13" s="5"/>
      <c r="F13" s="6">
        <v>2</v>
      </c>
      <c r="G13" s="7">
        <v>2</v>
      </c>
      <c r="H13" s="6">
        <v>0</v>
      </c>
      <c r="I13" s="7">
        <v>0</v>
      </c>
      <c r="J13" s="6">
        <v>0</v>
      </c>
      <c r="K13" s="7">
        <v>0</v>
      </c>
      <c r="L13" s="6">
        <v>2</v>
      </c>
      <c r="M13" s="8"/>
      <c r="N13" s="1">
        <v>0</v>
      </c>
      <c r="O13" s="1">
        <v>0</v>
      </c>
      <c r="P13" s="1">
        <v>0</v>
      </c>
      <c r="Q13" s="9">
        <v>0</v>
      </c>
      <c r="R13" s="9">
        <v>0</v>
      </c>
      <c r="S13" s="9">
        <v>0</v>
      </c>
      <c r="T13" s="9">
        <v>0</v>
      </c>
      <c r="U13" s="10">
        <f>SUM(N13:T13)</f>
        <v>0</v>
      </c>
      <c r="Y13" s="6">
        <f>F13</f>
        <v>2</v>
      </c>
      <c r="Z13" s="6">
        <f t="shared" ref="Z13:AE13" si="0">G13</f>
        <v>2</v>
      </c>
      <c r="AA13" s="6">
        <f t="shared" si="0"/>
        <v>0</v>
      </c>
      <c r="AB13" s="6">
        <f t="shared" si="0"/>
        <v>0</v>
      </c>
      <c r="AC13" s="6">
        <f t="shared" si="0"/>
        <v>0</v>
      </c>
      <c r="AD13" s="6">
        <f t="shared" si="0"/>
        <v>0</v>
      </c>
      <c r="AE13" s="6">
        <f t="shared" si="0"/>
        <v>2</v>
      </c>
      <c r="AF13" s="8"/>
      <c r="AG13" s="1">
        <v>0</v>
      </c>
      <c r="AH13" s="1">
        <v>0</v>
      </c>
      <c r="AI13" s="1">
        <v>0</v>
      </c>
      <c r="AJ13" s="9">
        <v>0</v>
      </c>
      <c r="AK13" s="9">
        <v>0</v>
      </c>
      <c r="AL13" s="9">
        <v>0</v>
      </c>
      <c r="AM13" s="9">
        <v>0</v>
      </c>
      <c r="AN13" s="10">
        <f>SUM(AG13:AM13)</f>
        <v>0</v>
      </c>
    </row>
    <row r="14" spans="1:40" x14ac:dyDescent="0.25">
      <c r="A14" t="s">
        <v>21</v>
      </c>
      <c r="B14" s="4"/>
      <c r="C14" s="11"/>
      <c r="D14" s="11"/>
      <c r="E14" s="11"/>
      <c r="F14" s="12">
        <v>0</v>
      </c>
      <c r="G14" s="13">
        <v>2</v>
      </c>
      <c r="H14" s="12">
        <v>2</v>
      </c>
      <c r="I14" s="13">
        <v>2</v>
      </c>
      <c r="J14" s="12">
        <v>2</v>
      </c>
      <c r="K14" s="13">
        <v>2</v>
      </c>
      <c r="L14" s="12">
        <v>2</v>
      </c>
      <c r="M14" s="8"/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0">
        <f t="shared" ref="U14" si="1">SUM(N14:T14)</f>
        <v>0</v>
      </c>
      <c r="Y14" s="6">
        <f t="shared" ref="Y14:Y28" si="2">F14</f>
        <v>0</v>
      </c>
      <c r="Z14" s="6">
        <f t="shared" ref="Z14:Z28" si="3">G14</f>
        <v>2</v>
      </c>
      <c r="AA14" s="6">
        <f t="shared" ref="AA14:AA28" si="4">H14</f>
        <v>2</v>
      </c>
      <c r="AB14" s="6">
        <f t="shared" ref="AB14:AB28" si="5">I14</f>
        <v>2</v>
      </c>
      <c r="AC14" s="6">
        <f t="shared" ref="AC14:AC28" si="6">J14</f>
        <v>2</v>
      </c>
      <c r="AD14" s="6">
        <f t="shared" ref="AD14:AD28" si="7">K14</f>
        <v>2</v>
      </c>
      <c r="AE14" s="6">
        <f t="shared" ref="AE14:AE28" si="8">L14</f>
        <v>2</v>
      </c>
      <c r="AF14" s="8"/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0">
        <f t="shared" ref="AN14" si="9">SUM(AG14:AM14)</f>
        <v>0</v>
      </c>
    </row>
    <row r="15" spans="1:40" x14ac:dyDescent="0.25">
      <c r="A15" t="s">
        <v>23</v>
      </c>
      <c r="B15" s="4"/>
      <c r="C15" s="11"/>
      <c r="D15" s="11"/>
      <c r="E15" s="11"/>
      <c r="F15" s="12">
        <v>0</v>
      </c>
      <c r="G15" s="13">
        <v>2</v>
      </c>
      <c r="H15" s="12">
        <v>2</v>
      </c>
      <c r="I15" s="13">
        <v>2</v>
      </c>
      <c r="J15" s="12">
        <v>2</v>
      </c>
      <c r="K15" s="13">
        <v>2</v>
      </c>
      <c r="L15" s="12">
        <v>2</v>
      </c>
      <c r="M15" s="8"/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0">
        <f>SUM(N15:T15)</f>
        <v>0</v>
      </c>
      <c r="Y15" s="6">
        <f t="shared" si="2"/>
        <v>0</v>
      </c>
      <c r="Z15" s="6">
        <f t="shared" si="3"/>
        <v>2</v>
      </c>
      <c r="AA15" s="6">
        <f t="shared" si="4"/>
        <v>2</v>
      </c>
      <c r="AB15" s="6">
        <f t="shared" si="5"/>
        <v>2</v>
      </c>
      <c r="AC15" s="6">
        <f t="shared" si="6"/>
        <v>2</v>
      </c>
      <c r="AD15" s="6">
        <f t="shared" si="7"/>
        <v>2</v>
      </c>
      <c r="AE15" s="6">
        <f t="shared" si="8"/>
        <v>2</v>
      </c>
      <c r="AF15" s="8"/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0">
        <f>SUM(AG15:AM15)</f>
        <v>0</v>
      </c>
    </row>
    <row r="16" spans="1:40" x14ac:dyDescent="0.25">
      <c r="A16" t="s">
        <v>24</v>
      </c>
      <c r="B16" s="4"/>
      <c r="C16" s="11"/>
      <c r="D16" s="11"/>
      <c r="E16" s="11"/>
      <c r="F16" s="12">
        <v>0</v>
      </c>
      <c r="G16" s="13">
        <v>2</v>
      </c>
      <c r="H16" s="12">
        <v>2</v>
      </c>
      <c r="I16" s="13">
        <v>2</v>
      </c>
      <c r="J16" s="12">
        <v>2</v>
      </c>
      <c r="K16" s="13">
        <v>2</v>
      </c>
      <c r="L16" s="12">
        <v>2</v>
      </c>
      <c r="M16" s="8"/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0">
        <f>SUM(N16:T16)</f>
        <v>0</v>
      </c>
      <c r="Y16" s="6">
        <f t="shared" si="2"/>
        <v>0</v>
      </c>
      <c r="Z16" s="6">
        <f t="shared" si="3"/>
        <v>2</v>
      </c>
      <c r="AA16" s="6">
        <f t="shared" si="4"/>
        <v>2</v>
      </c>
      <c r="AB16" s="6">
        <f t="shared" si="5"/>
        <v>2</v>
      </c>
      <c r="AC16" s="6">
        <f t="shared" si="6"/>
        <v>2</v>
      </c>
      <c r="AD16" s="6">
        <f t="shared" si="7"/>
        <v>2</v>
      </c>
      <c r="AE16" s="6">
        <f t="shared" si="8"/>
        <v>2</v>
      </c>
      <c r="AF16" s="8"/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0">
        <f>SUM(AG16:AM16)</f>
        <v>0</v>
      </c>
    </row>
    <row r="17" spans="1:40" x14ac:dyDescent="0.25">
      <c r="A17" t="s">
        <v>25</v>
      </c>
      <c r="B17" s="4"/>
      <c r="C17" s="11"/>
      <c r="D17" s="11"/>
      <c r="E17" s="11"/>
      <c r="F17" s="12">
        <v>0</v>
      </c>
      <c r="G17" s="13">
        <v>2</v>
      </c>
      <c r="H17" s="12">
        <v>2</v>
      </c>
      <c r="I17" s="13">
        <v>2</v>
      </c>
      <c r="J17" s="12">
        <v>2</v>
      </c>
      <c r="K17" s="13">
        <v>2</v>
      </c>
      <c r="L17" s="12">
        <v>2</v>
      </c>
      <c r="M17" s="8"/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0">
        <f t="shared" ref="U17:U24" si="10">SUM(N17:T17)</f>
        <v>0</v>
      </c>
      <c r="Y17" s="6">
        <f t="shared" si="2"/>
        <v>0</v>
      </c>
      <c r="Z17" s="6">
        <f t="shared" si="3"/>
        <v>2</v>
      </c>
      <c r="AA17" s="6">
        <f t="shared" si="4"/>
        <v>2</v>
      </c>
      <c r="AB17" s="6">
        <f t="shared" si="5"/>
        <v>2</v>
      </c>
      <c r="AC17" s="6">
        <f t="shared" si="6"/>
        <v>2</v>
      </c>
      <c r="AD17" s="6">
        <f t="shared" si="7"/>
        <v>2</v>
      </c>
      <c r="AE17" s="6">
        <f t="shared" si="8"/>
        <v>2</v>
      </c>
      <c r="AF17" s="8"/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0">
        <f t="shared" ref="AN17:AN24" si="11">SUM(AG17:AM17)</f>
        <v>0</v>
      </c>
    </row>
    <row r="18" spans="1:40" x14ac:dyDescent="0.25">
      <c r="A18" t="s">
        <v>26</v>
      </c>
      <c r="B18" s="4"/>
      <c r="C18" s="11"/>
      <c r="D18" s="11"/>
      <c r="E18" s="11"/>
      <c r="F18" s="12">
        <v>0</v>
      </c>
      <c r="G18" s="13">
        <v>2</v>
      </c>
      <c r="H18" s="12">
        <v>2</v>
      </c>
      <c r="I18" s="13">
        <v>2</v>
      </c>
      <c r="J18" s="12">
        <v>2</v>
      </c>
      <c r="K18" s="13">
        <v>2</v>
      </c>
      <c r="L18" s="12">
        <v>2</v>
      </c>
      <c r="M18" s="8"/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0">
        <f t="shared" si="10"/>
        <v>0</v>
      </c>
      <c r="Y18" s="6">
        <f t="shared" si="2"/>
        <v>0</v>
      </c>
      <c r="Z18" s="6">
        <f t="shared" si="3"/>
        <v>2</v>
      </c>
      <c r="AA18" s="6">
        <f t="shared" si="4"/>
        <v>2</v>
      </c>
      <c r="AB18" s="6">
        <f t="shared" si="5"/>
        <v>2</v>
      </c>
      <c r="AC18" s="6">
        <f t="shared" si="6"/>
        <v>2</v>
      </c>
      <c r="AD18" s="6">
        <f t="shared" si="7"/>
        <v>2</v>
      </c>
      <c r="AE18" s="6">
        <f t="shared" si="8"/>
        <v>2</v>
      </c>
      <c r="AF18" s="8"/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0">
        <f t="shared" si="11"/>
        <v>0</v>
      </c>
    </row>
    <row r="19" spans="1:40" x14ac:dyDescent="0.25">
      <c r="A19" t="s">
        <v>27</v>
      </c>
      <c r="B19" s="4"/>
      <c r="C19" s="11"/>
      <c r="D19" s="11"/>
      <c r="E19" s="11"/>
      <c r="F19" s="12">
        <v>0</v>
      </c>
      <c r="G19" s="13">
        <v>2</v>
      </c>
      <c r="H19" s="12">
        <v>2</v>
      </c>
      <c r="I19" s="13">
        <v>2</v>
      </c>
      <c r="J19" s="12">
        <v>2</v>
      </c>
      <c r="K19" s="13">
        <v>2</v>
      </c>
      <c r="L19" s="12">
        <v>2</v>
      </c>
      <c r="M19" s="8"/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0">
        <f t="shared" si="10"/>
        <v>0</v>
      </c>
      <c r="Y19" s="6">
        <f t="shared" si="2"/>
        <v>0</v>
      </c>
      <c r="Z19" s="6">
        <f t="shared" si="3"/>
        <v>2</v>
      </c>
      <c r="AA19" s="6">
        <f t="shared" si="4"/>
        <v>2</v>
      </c>
      <c r="AB19" s="6">
        <f t="shared" si="5"/>
        <v>2</v>
      </c>
      <c r="AC19" s="6">
        <f t="shared" si="6"/>
        <v>2</v>
      </c>
      <c r="AD19" s="6">
        <f t="shared" si="7"/>
        <v>2</v>
      </c>
      <c r="AE19" s="6">
        <f t="shared" si="8"/>
        <v>2</v>
      </c>
      <c r="AF19" s="8"/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0">
        <f t="shared" si="11"/>
        <v>0</v>
      </c>
    </row>
    <row r="20" spans="1:40" x14ac:dyDescent="0.25">
      <c r="A20" t="s">
        <v>28</v>
      </c>
      <c r="B20" s="4"/>
      <c r="C20" s="11"/>
      <c r="D20" s="11"/>
      <c r="E20" s="11"/>
      <c r="F20" s="12">
        <v>0</v>
      </c>
      <c r="G20" s="13">
        <v>2</v>
      </c>
      <c r="H20" s="12">
        <v>2</v>
      </c>
      <c r="I20" s="13">
        <v>2</v>
      </c>
      <c r="J20" s="12">
        <v>2</v>
      </c>
      <c r="K20" s="13">
        <v>2</v>
      </c>
      <c r="L20" s="12">
        <v>2</v>
      </c>
      <c r="M20" s="8"/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0">
        <f t="shared" si="10"/>
        <v>0</v>
      </c>
      <c r="Y20" s="6">
        <f t="shared" si="2"/>
        <v>0</v>
      </c>
      <c r="Z20" s="6">
        <f t="shared" si="3"/>
        <v>2</v>
      </c>
      <c r="AA20" s="6">
        <f t="shared" si="4"/>
        <v>2</v>
      </c>
      <c r="AB20" s="6">
        <f t="shared" si="5"/>
        <v>2</v>
      </c>
      <c r="AC20" s="6">
        <f t="shared" si="6"/>
        <v>2</v>
      </c>
      <c r="AD20" s="6">
        <f t="shared" si="7"/>
        <v>2</v>
      </c>
      <c r="AE20" s="6">
        <f t="shared" si="8"/>
        <v>2</v>
      </c>
      <c r="AF20" s="8"/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0">
        <f t="shared" si="11"/>
        <v>0</v>
      </c>
    </row>
    <row r="21" spans="1:40" x14ac:dyDescent="0.25">
      <c r="A21" t="s">
        <v>29</v>
      </c>
      <c r="B21" s="4"/>
      <c r="C21" s="11"/>
      <c r="D21" s="11"/>
      <c r="E21" s="11"/>
      <c r="F21" s="12">
        <v>0</v>
      </c>
      <c r="G21" s="13">
        <v>2</v>
      </c>
      <c r="H21" s="12">
        <v>2</v>
      </c>
      <c r="I21" s="13">
        <v>2</v>
      </c>
      <c r="J21" s="12">
        <v>2</v>
      </c>
      <c r="K21" s="13">
        <v>2</v>
      </c>
      <c r="L21" s="12">
        <v>2</v>
      </c>
      <c r="M21" s="8"/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0">
        <f t="shared" si="10"/>
        <v>0</v>
      </c>
      <c r="Y21" s="6">
        <f t="shared" si="2"/>
        <v>0</v>
      </c>
      <c r="Z21" s="6">
        <f t="shared" si="3"/>
        <v>2</v>
      </c>
      <c r="AA21" s="6">
        <f t="shared" si="4"/>
        <v>2</v>
      </c>
      <c r="AB21" s="6">
        <f t="shared" si="5"/>
        <v>2</v>
      </c>
      <c r="AC21" s="6">
        <f t="shared" si="6"/>
        <v>2</v>
      </c>
      <c r="AD21" s="6">
        <f t="shared" si="7"/>
        <v>2</v>
      </c>
      <c r="AE21" s="6">
        <f t="shared" si="8"/>
        <v>2</v>
      </c>
      <c r="AF21" s="8"/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0">
        <f t="shared" si="11"/>
        <v>0</v>
      </c>
    </row>
    <row r="22" spans="1:40" x14ac:dyDescent="0.25">
      <c r="A22" t="s">
        <v>72</v>
      </c>
      <c r="B22" s="4"/>
      <c r="C22" s="11"/>
      <c r="D22" s="11"/>
      <c r="E22" s="11"/>
      <c r="F22" s="12">
        <v>0</v>
      </c>
      <c r="G22" s="13">
        <v>2</v>
      </c>
      <c r="H22" s="12">
        <v>2</v>
      </c>
      <c r="I22" s="13">
        <v>2</v>
      </c>
      <c r="J22" s="12">
        <v>2</v>
      </c>
      <c r="K22" s="13">
        <v>2</v>
      </c>
      <c r="L22" s="12">
        <v>2</v>
      </c>
      <c r="M22" s="8"/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0">
        <f t="shared" si="10"/>
        <v>0</v>
      </c>
      <c r="Y22" s="6">
        <f t="shared" si="2"/>
        <v>0</v>
      </c>
      <c r="Z22" s="6">
        <f t="shared" si="3"/>
        <v>2</v>
      </c>
      <c r="AA22" s="6">
        <f t="shared" si="4"/>
        <v>2</v>
      </c>
      <c r="AB22" s="6">
        <f t="shared" si="5"/>
        <v>2</v>
      </c>
      <c r="AC22" s="6">
        <f t="shared" si="6"/>
        <v>2</v>
      </c>
      <c r="AD22" s="6">
        <f t="shared" si="7"/>
        <v>2</v>
      </c>
      <c r="AE22" s="6">
        <f t="shared" si="8"/>
        <v>2</v>
      </c>
      <c r="AF22" s="8"/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0">
        <f t="shared" si="11"/>
        <v>0</v>
      </c>
    </row>
    <row r="23" spans="1:40" x14ac:dyDescent="0.25">
      <c r="A23" t="s">
        <v>31</v>
      </c>
      <c r="B23" s="4"/>
      <c r="C23" s="11"/>
      <c r="D23" s="11"/>
      <c r="E23" s="11"/>
      <c r="F23" s="12">
        <v>0</v>
      </c>
      <c r="G23" s="13">
        <v>2</v>
      </c>
      <c r="H23" s="12">
        <v>2</v>
      </c>
      <c r="I23" s="13">
        <v>2</v>
      </c>
      <c r="J23" s="12">
        <v>2</v>
      </c>
      <c r="K23" s="13">
        <v>2</v>
      </c>
      <c r="L23" s="12">
        <v>2</v>
      </c>
      <c r="M23" s="8"/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0">
        <f t="shared" si="10"/>
        <v>0</v>
      </c>
      <c r="Y23" s="6">
        <f t="shared" si="2"/>
        <v>0</v>
      </c>
      <c r="Z23" s="6">
        <f t="shared" si="3"/>
        <v>2</v>
      </c>
      <c r="AA23" s="6">
        <f t="shared" si="4"/>
        <v>2</v>
      </c>
      <c r="AB23" s="6">
        <f t="shared" si="5"/>
        <v>2</v>
      </c>
      <c r="AC23" s="6">
        <f t="shared" si="6"/>
        <v>2</v>
      </c>
      <c r="AD23" s="6">
        <f t="shared" si="7"/>
        <v>2</v>
      </c>
      <c r="AE23" s="6">
        <f t="shared" si="8"/>
        <v>2</v>
      </c>
      <c r="AF23" s="8"/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0">
        <f t="shared" si="11"/>
        <v>0</v>
      </c>
    </row>
    <row r="24" spans="1:40" x14ac:dyDescent="0.25">
      <c r="A24" t="s">
        <v>33</v>
      </c>
      <c r="B24" s="4" t="s">
        <v>133</v>
      </c>
      <c r="C24" s="11" t="s">
        <v>73</v>
      </c>
      <c r="D24" s="11">
        <v>17</v>
      </c>
      <c r="E24" s="11">
        <v>15</v>
      </c>
      <c r="F24" s="12">
        <v>0</v>
      </c>
      <c r="G24" s="13">
        <v>2</v>
      </c>
      <c r="H24" s="12">
        <v>5.7</v>
      </c>
      <c r="I24" s="13">
        <v>5.5</v>
      </c>
      <c r="J24" s="12">
        <v>5</v>
      </c>
      <c r="K24" s="13">
        <v>3</v>
      </c>
      <c r="L24" s="12">
        <v>2</v>
      </c>
      <c r="M24" s="8">
        <v>350</v>
      </c>
      <c r="N24" s="1">
        <v>0</v>
      </c>
      <c r="O24" s="1">
        <v>0</v>
      </c>
      <c r="P24" s="1">
        <v>11</v>
      </c>
      <c r="Q24" s="1">
        <f>5.5+1.5</f>
        <v>7</v>
      </c>
      <c r="R24" s="1">
        <v>7</v>
      </c>
      <c r="S24" s="1">
        <v>2</v>
      </c>
      <c r="T24" s="1">
        <v>0</v>
      </c>
      <c r="U24" s="10">
        <f t="shared" si="10"/>
        <v>27</v>
      </c>
      <c r="W24">
        <f>D24+1</f>
        <v>18</v>
      </c>
      <c r="X24">
        <f>E24+$X$7</f>
        <v>95.5</v>
      </c>
      <c r="Y24" s="6">
        <f t="shared" si="2"/>
        <v>0</v>
      </c>
      <c r="Z24" s="6">
        <f t="shared" si="3"/>
        <v>2</v>
      </c>
      <c r="AA24" s="6">
        <f t="shared" si="4"/>
        <v>5.7</v>
      </c>
      <c r="AB24" s="6">
        <v>9.5</v>
      </c>
      <c r="AC24" s="6">
        <f>8+3/5</f>
        <v>8.6</v>
      </c>
      <c r="AD24" s="6">
        <f t="shared" si="7"/>
        <v>3</v>
      </c>
      <c r="AE24" s="6">
        <f t="shared" si="8"/>
        <v>2</v>
      </c>
      <c r="AF24" s="8">
        <f>(2140+140+150)*1.008</f>
        <v>2449.44</v>
      </c>
      <c r="AG24" s="1">
        <f>N24</f>
        <v>0</v>
      </c>
      <c r="AH24" s="1">
        <f t="shared" ref="AH24:AM24" si="12">O24</f>
        <v>0</v>
      </c>
      <c r="AI24" s="1">
        <f t="shared" si="12"/>
        <v>11</v>
      </c>
      <c r="AJ24" s="36">
        <f>Q24+X9</f>
        <v>20.5</v>
      </c>
      <c r="AK24" s="1">
        <f>R24+X10</f>
        <v>21</v>
      </c>
      <c r="AL24" s="1">
        <f t="shared" si="12"/>
        <v>2</v>
      </c>
      <c r="AM24" s="1">
        <f t="shared" si="12"/>
        <v>0</v>
      </c>
      <c r="AN24" s="10">
        <f t="shared" si="11"/>
        <v>54.5</v>
      </c>
    </row>
    <row r="25" spans="1:40" x14ac:dyDescent="0.25">
      <c r="A25" t="s">
        <v>34</v>
      </c>
      <c r="B25" s="4" t="s">
        <v>134</v>
      </c>
      <c r="C25" s="11" t="s">
        <v>42</v>
      </c>
      <c r="D25" s="11">
        <v>17</v>
      </c>
      <c r="E25" s="11">
        <v>19</v>
      </c>
      <c r="F25" s="12">
        <v>0</v>
      </c>
      <c r="G25" s="13">
        <v>6</v>
      </c>
      <c r="H25" s="12">
        <v>3</v>
      </c>
      <c r="I25" s="13">
        <v>3</v>
      </c>
      <c r="J25" s="12">
        <v>5</v>
      </c>
      <c r="K25" s="13">
        <v>2</v>
      </c>
      <c r="L25" s="12">
        <v>0</v>
      </c>
      <c r="M25" s="8">
        <v>330</v>
      </c>
      <c r="N25" s="1">
        <v>0</v>
      </c>
      <c r="O25" s="1">
        <v>14</v>
      </c>
      <c r="P25" s="1">
        <v>3</v>
      </c>
      <c r="Q25" s="1">
        <v>1.5</v>
      </c>
      <c r="R25" s="1">
        <v>7</v>
      </c>
      <c r="S25" s="1">
        <v>0</v>
      </c>
      <c r="T25" s="1">
        <v>-2</v>
      </c>
      <c r="U25" s="10">
        <f>SUM(N25:T25)</f>
        <v>23.5</v>
      </c>
      <c r="W25">
        <f t="shared" ref="W25:W26" si="13">D25+1</f>
        <v>18</v>
      </c>
      <c r="X25">
        <f t="shared" ref="X25:X26" si="14">E25+$X$7</f>
        <v>99.5</v>
      </c>
      <c r="Y25" s="6">
        <f t="shared" si="2"/>
        <v>0</v>
      </c>
      <c r="Z25" s="6">
        <f t="shared" si="3"/>
        <v>6</v>
      </c>
      <c r="AA25" s="6">
        <f t="shared" si="4"/>
        <v>3</v>
      </c>
      <c r="AB25" s="6">
        <v>8</v>
      </c>
      <c r="AC25" s="6">
        <f>8+3/5</f>
        <v>8.6</v>
      </c>
      <c r="AD25" s="6">
        <f t="shared" si="7"/>
        <v>2</v>
      </c>
      <c r="AE25" s="6">
        <f t="shared" si="8"/>
        <v>0</v>
      </c>
      <c r="AF25" s="8">
        <f>(830+455+165)*1</f>
        <v>1450</v>
      </c>
      <c r="AG25" s="1">
        <f t="shared" ref="AG25:AG26" si="15">N25</f>
        <v>0</v>
      </c>
      <c r="AH25" s="1">
        <f t="shared" ref="AH25:AH26" si="16">O25</f>
        <v>14</v>
      </c>
      <c r="AI25" s="1">
        <f t="shared" ref="AI25:AI26" si="17">P25</f>
        <v>3</v>
      </c>
      <c r="AJ25" s="36">
        <f>Q25+X9</f>
        <v>15</v>
      </c>
      <c r="AK25" s="1">
        <f>R25+X10</f>
        <v>21</v>
      </c>
      <c r="AL25" s="1">
        <f t="shared" ref="AL25:AL26" si="18">S25</f>
        <v>0</v>
      </c>
      <c r="AM25" s="1">
        <f t="shared" ref="AM25:AM26" si="19">T25</f>
        <v>-2</v>
      </c>
      <c r="AN25" s="10">
        <f>SUM(AG25:AM25)</f>
        <v>51</v>
      </c>
    </row>
    <row r="26" spans="1:40" x14ac:dyDescent="0.25">
      <c r="A26" t="s">
        <v>35</v>
      </c>
      <c r="B26" s="4" t="s">
        <v>135</v>
      </c>
      <c r="C26" s="11" t="s">
        <v>42</v>
      </c>
      <c r="D26" s="11">
        <v>17</v>
      </c>
      <c r="E26" s="11">
        <v>15</v>
      </c>
      <c r="F26" s="12">
        <v>0</v>
      </c>
      <c r="G26" s="13">
        <v>3</v>
      </c>
      <c r="H26" s="12">
        <v>5</v>
      </c>
      <c r="I26" s="13">
        <v>4</v>
      </c>
      <c r="J26" s="12">
        <v>4</v>
      </c>
      <c r="K26" s="13">
        <v>3</v>
      </c>
      <c r="L26" s="12">
        <v>0</v>
      </c>
      <c r="M26" s="8">
        <v>290</v>
      </c>
      <c r="N26" s="1">
        <v>0</v>
      </c>
      <c r="O26" s="1">
        <v>3</v>
      </c>
      <c r="P26" s="1">
        <v>9</v>
      </c>
      <c r="Q26" s="1">
        <v>3.5</v>
      </c>
      <c r="R26" s="1">
        <v>4</v>
      </c>
      <c r="S26" s="1">
        <v>2</v>
      </c>
      <c r="T26" s="1">
        <v>-2</v>
      </c>
      <c r="U26" s="10">
        <f>SUM(N26:T26)</f>
        <v>19.5</v>
      </c>
      <c r="W26">
        <f t="shared" si="13"/>
        <v>18</v>
      </c>
      <c r="X26">
        <f t="shared" si="14"/>
        <v>95.5</v>
      </c>
      <c r="Y26" s="6">
        <f t="shared" si="2"/>
        <v>0</v>
      </c>
      <c r="Z26" s="6">
        <f t="shared" si="3"/>
        <v>3</v>
      </c>
      <c r="AA26" s="6">
        <f t="shared" si="4"/>
        <v>5</v>
      </c>
      <c r="AB26" s="6">
        <f>8+2.5/3</f>
        <v>8.8333333333333339</v>
      </c>
      <c r="AC26" s="6">
        <v>8</v>
      </c>
      <c r="AD26" s="6">
        <f t="shared" si="7"/>
        <v>3</v>
      </c>
      <c r="AE26" s="6">
        <f t="shared" si="8"/>
        <v>0</v>
      </c>
      <c r="AF26" s="8">
        <f>(1475+135+135)*1</f>
        <v>1745</v>
      </c>
      <c r="AG26" s="1">
        <f t="shared" si="15"/>
        <v>0</v>
      </c>
      <c r="AH26" s="1">
        <f t="shared" si="16"/>
        <v>3</v>
      </c>
      <c r="AI26" s="1">
        <f t="shared" si="17"/>
        <v>9</v>
      </c>
      <c r="AJ26" s="1">
        <f>Q26+X10</f>
        <v>17.5</v>
      </c>
      <c r="AK26" s="1">
        <f>R26+X10</f>
        <v>18</v>
      </c>
      <c r="AL26" s="1">
        <f t="shared" si="18"/>
        <v>2</v>
      </c>
      <c r="AM26" s="1">
        <f t="shared" si="19"/>
        <v>-2</v>
      </c>
      <c r="AN26" s="10">
        <f>SUM(AG26:AM26)</f>
        <v>47.5</v>
      </c>
    </row>
    <row r="27" spans="1:40" x14ac:dyDescent="0.25">
      <c r="A27" t="s">
        <v>37</v>
      </c>
      <c r="B27" s="4"/>
      <c r="C27" s="11"/>
      <c r="D27" s="11"/>
      <c r="E27" s="11"/>
      <c r="F27" s="12">
        <v>0</v>
      </c>
      <c r="G27" s="13">
        <v>2</v>
      </c>
      <c r="H27" s="12">
        <v>2</v>
      </c>
      <c r="I27" s="13">
        <v>2</v>
      </c>
      <c r="J27" s="12">
        <v>2</v>
      </c>
      <c r="K27" s="13">
        <v>2</v>
      </c>
      <c r="L27" s="12">
        <v>2</v>
      </c>
      <c r="M27" s="8"/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0">
        <f t="shared" ref="U27:U28" si="20">SUM(N27:T27)</f>
        <v>0</v>
      </c>
      <c r="Y27" s="6">
        <f t="shared" si="2"/>
        <v>0</v>
      </c>
      <c r="Z27" s="6">
        <f t="shared" si="3"/>
        <v>2</v>
      </c>
      <c r="AA27" s="6">
        <f t="shared" si="4"/>
        <v>2</v>
      </c>
      <c r="AB27" s="6">
        <f t="shared" si="5"/>
        <v>2</v>
      </c>
      <c r="AC27" s="6">
        <f t="shared" si="6"/>
        <v>2</v>
      </c>
      <c r="AD27" s="6">
        <f t="shared" si="7"/>
        <v>2</v>
      </c>
      <c r="AE27" s="6">
        <f t="shared" si="8"/>
        <v>2</v>
      </c>
      <c r="AF27" s="8"/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0">
        <f t="shared" ref="AN27:AN28" si="21">SUM(AG27:AM27)</f>
        <v>0</v>
      </c>
    </row>
    <row r="28" spans="1:40" x14ac:dyDescent="0.25">
      <c r="A28" t="s">
        <v>121</v>
      </c>
      <c r="B28" s="4"/>
      <c r="C28" s="11"/>
      <c r="D28" s="11"/>
      <c r="E28" s="11"/>
      <c r="F28" s="12">
        <v>0</v>
      </c>
      <c r="G28" s="13">
        <v>2</v>
      </c>
      <c r="H28" s="12">
        <v>2</v>
      </c>
      <c r="I28" s="13">
        <v>2</v>
      </c>
      <c r="J28" s="12">
        <v>2</v>
      </c>
      <c r="K28" s="13">
        <v>2</v>
      </c>
      <c r="L28" s="12">
        <v>2</v>
      </c>
      <c r="M28" s="8"/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0">
        <f t="shared" si="20"/>
        <v>0</v>
      </c>
      <c r="Y28" s="6">
        <f t="shared" si="2"/>
        <v>0</v>
      </c>
      <c r="Z28" s="6">
        <f t="shared" si="3"/>
        <v>2</v>
      </c>
      <c r="AA28" s="6">
        <f t="shared" si="4"/>
        <v>2</v>
      </c>
      <c r="AB28" s="6">
        <f t="shared" si="5"/>
        <v>2</v>
      </c>
      <c r="AC28" s="6">
        <f t="shared" si="6"/>
        <v>2</v>
      </c>
      <c r="AD28" s="6">
        <f t="shared" si="7"/>
        <v>2</v>
      </c>
      <c r="AE28" s="6">
        <f t="shared" si="8"/>
        <v>2</v>
      </c>
      <c r="AF28" s="8"/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0">
        <f t="shared" si="21"/>
        <v>0</v>
      </c>
    </row>
    <row r="29" spans="1:40" x14ac:dyDescent="0.25">
      <c r="F29" s="1"/>
      <c r="G29" s="1"/>
      <c r="H29" s="1"/>
      <c r="I29" s="1"/>
      <c r="J29" s="1"/>
      <c r="K29" s="1"/>
      <c r="L29" s="1"/>
      <c r="M29" s="2">
        <f>SUM(M31:M45)</f>
        <v>15124.68</v>
      </c>
      <c r="N29" s="1"/>
      <c r="O29" s="1"/>
      <c r="P29" s="1"/>
      <c r="Q29" s="1"/>
      <c r="R29" s="1"/>
      <c r="S29" s="1"/>
      <c r="T29" s="1"/>
      <c r="U29" s="1"/>
      <c r="Y29" s="1"/>
      <c r="Z29" s="1"/>
      <c r="AA29" s="1"/>
      <c r="AB29" s="1"/>
      <c r="AC29" s="1"/>
      <c r="AD29" s="1"/>
      <c r="AE29" s="1"/>
      <c r="AF29" s="2">
        <f>SUM(AF31:AF45)</f>
        <v>42675.44</v>
      </c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3" t="s">
        <v>0</v>
      </c>
      <c r="B30" s="3" t="s">
        <v>1</v>
      </c>
      <c r="C30" s="3" t="s">
        <v>2</v>
      </c>
      <c r="D30" s="3" t="s">
        <v>136</v>
      </c>
      <c r="E30" s="3" t="s">
        <v>137</v>
      </c>
      <c r="F30" s="3" t="s">
        <v>3</v>
      </c>
      <c r="G30" s="3" t="s">
        <v>4</v>
      </c>
      <c r="H30" s="3" t="s">
        <v>5</v>
      </c>
      <c r="I30" s="3" t="s">
        <v>6</v>
      </c>
      <c r="J30" s="3" t="s">
        <v>7</v>
      </c>
      <c r="K30" s="3" t="s">
        <v>8</v>
      </c>
      <c r="L30" s="3" t="s">
        <v>9</v>
      </c>
      <c r="M30" s="3" t="s">
        <v>10</v>
      </c>
      <c r="N30" s="3" t="s">
        <v>11</v>
      </c>
      <c r="O30" s="3" t="s">
        <v>12</v>
      </c>
      <c r="P30" s="3" t="s">
        <v>13</v>
      </c>
      <c r="Q30" s="3" t="s">
        <v>14</v>
      </c>
      <c r="R30" s="3" t="s">
        <v>15</v>
      </c>
      <c r="S30" s="3" t="s">
        <v>16</v>
      </c>
      <c r="T30" s="3" t="s">
        <v>17</v>
      </c>
      <c r="U30" s="3" t="s">
        <v>18</v>
      </c>
      <c r="W30" s="3" t="s">
        <v>136</v>
      </c>
      <c r="X30" s="3" t="s">
        <v>137</v>
      </c>
      <c r="Y30" s="3" t="s">
        <v>3</v>
      </c>
      <c r="Z30" s="3" t="s">
        <v>4</v>
      </c>
      <c r="AA30" s="3" t="s">
        <v>5</v>
      </c>
      <c r="AB30" s="3" t="s">
        <v>6</v>
      </c>
      <c r="AC30" s="3" t="s">
        <v>7</v>
      </c>
      <c r="AD30" s="3" t="s">
        <v>8</v>
      </c>
      <c r="AE30" s="3" t="s">
        <v>9</v>
      </c>
      <c r="AF30" s="3" t="s">
        <v>10</v>
      </c>
      <c r="AG30" s="3" t="s">
        <v>11</v>
      </c>
      <c r="AH30" s="3" t="s">
        <v>12</v>
      </c>
      <c r="AI30" s="3" t="s">
        <v>13</v>
      </c>
      <c r="AJ30" s="3" t="s">
        <v>14</v>
      </c>
      <c r="AK30" s="3" t="s">
        <v>15</v>
      </c>
      <c r="AL30" s="3" t="s">
        <v>16</v>
      </c>
      <c r="AM30" s="3" t="s">
        <v>17</v>
      </c>
      <c r="AN30" s="3" t="s">
        <v>18</v>
      </c>
    </row>
    <row r="31" spans="1:40" x14ac:dyDescent="0.25">
      <c r="A31" t="s">
        <v>19</v>
      </c>
      <c r="B31" s="4"/>
      <c r="C31" s="5"/>
      <c r="D31" s="5"/>
      <c r="E31" s="5"/>
      <c r="F31" s="6">
        <f>Y13</f>
        <v>2</v>
      </c>
      <c r="G31" s="6">
        <f t="shared" ref="G31:L31" si="22">Z13</f>
        <v>2</v>
      </c>
      <c r="H31" s="6">
        <f t="shared" si="22"/>
        <v>0</v>
      </c>
      <c r="I31" s="6">
        <f t="shared" si="22"/>
        <v>0</v>
      </c>
      <c r="J31" s="6">
        <f t="shared" si="22"/>
        <v>0</v>
      </c>
      <c r="K31" s="6">
        <f t="shared" si="22"/>
        <v>0</v>
      </c>
      <c r="L31" s="6">
        <f t="shared" si="22"/>
        <v>2</v>
      </c>
      <c r="M31" s="8"/>
      <c r="N31" s="1">
        <f>AG13</f>
        <v>0</v>
      </c>
      <c r="O31" s="1">
        <f t="shared" ref="O31:T31" si="23">AH13</f>
        <v>0</v>
      </c>
      <c r="P31" s="1">
        <f t="shared" si="23"/>
        <v>0</v>
      </c>
      <c r="Q31" s="1">
        <f t="shared" si="23"/>
        <v>0</v>
      </c>
      <c r="R31" s="1">
        <f t="shared" si="23"/>
        <v>0</v>
      </c>
      <c r="S31" s="1">
        <f t="shared" si="23"/>
        <v>0</v>
      </c>
      <c r="T31" s="1">
        <f t="shared" si="23"/>
        <v>0</v>
      </c>
      <c r="U31" s="10">
        <f>SUM(N31:T31)</f>
        <v>0</v>
      </c>
      <c r="Y31" s="6">
        <f>F31</f>
        <v>2</v>
      </c>
      <c r="Z31" s="6">
        <f t="shared" ref="Z31:AE31" si="24">G31</f>
        <v>2</v>
      </c>
      <c r="AA31" s="6">
        <f t="shared" si="24"/>
        <v>0</v>
      </c>
      <c r="AB31" s="6">
        <f t="shared" si="24"/>
        <v>0</v>
      </c>
      <c r="AC31" s="6">
        <f t="shared" si="24"/>
        <v>0</v>
      </c>
      <c r="AD31" s="6">
        <f t="shared" si="24"/>
        <v>0</v>
      </c>
      <c r="AE31" s="6">
        <f t="shared" si="24"/>
        <v>2</v>
      </c>
      <c r="AF31" s="8"/>
      <c r="AG31" s="1">
        <f>N31</f>
        <v>0</v>
      </c>
      <c r="AH31" s="1">
        <f t="shared" ref="AH31:AM31" si="25">O31</f>
        <v>0</v>
      </c>
      <c r="AI31" s="1">
        <f t="shared" si="25"/>
        <v>0</v>
      </c>
      <c r="AJ31" s="1">
        <f t="shared" si="25"/>
        <v>0</v>
      </c>
      <c r="AK31" s="1">
        <f t="shared" si="25"/>
        <v>0</v>
      </c>
      <c r="AL31" s="1">
        <f t="shared" si="25"/>
        <v>0</v>
      </c>
      <c r="AM31" s="1">
        <f t="shared" si="25"/>
        <v>0</v>
      </c>
      <c r="AN31" s="10">
        <f>SUM(AG31:AM31)</f>
        <v>0</v>
      </c>
    </row>
    <row r="32" spans="1:40" x14ac:dyDescent="0.25">
      <c r="A32" t="s">
        <v>21</v>
      </c>
      <c r="B32" s="4"/>
      <c r="C32" s="11"/>
      <c r="D32" s="11"/>
      <c r="E32" s="11"/>
      <c r="F32" s="6">
        <f t="shared" ref="F32:F46" si="26">Y14</f>
        <v>0</v>
      </c>
      <c r="G32" s="6">
        <f t="shared" ref="G32:G46" si="27">Z14</f>
        <v>2</v>
      </c>
      <c r="H32" s="6">
        <f t="shared" ref="H32:H46" si="28">AA14</f>
        <v>2</v>
      </c>
      <c r="I32" s="6">
        <f t="shared" ref="I32:I46" si="29">AB14</f>
        <v>2</v>
      </c>
      <c r="J32" s="6">
        <f t="shared" ref="J32:J46" si="30">AC14</f>
        <v>2</v>
      </c>
      <c r="K32" s="6">
        <f t="shared" ref="K32:K46" si="31">AD14</f>
        <v>2</v>
      </c>
      <c r="L32" s="6">
        <f t="shared" ref="L32:L46" si="32">AE14</f>
        <v>2</v>
      </c>
      <c r="M32" s="8"/>
      <c r="N32" s="1">
        <f t="shared" ref="N32:N46" si="33">AG14</f>
        <v>0</v>
      </c>
      <c r="O32" s="1">
        <f t="shared" ref="O32:O46" si="34">AH14</f>
        <v>0</v>
      </c>
      <c r="P32" s="1">
        <f t="shared" ref="P32:P46" si="35">AI14</f>
        <v>0</v>
      </c>
      <c r="Q32" s="1">
        <f t="shared" ref="Q32:Q46" si="36">AJ14</f>
        <v>0</v>
      </c>
      <c r="R32" s="1">
        <f t="shared" ref="R32:R46" si="37">AK14</f>
        <v>0</v>
      </c>
      <c r="S32" s="1">
        <f t="shared" ref="S32:S46" si="38">AL14</f>
        <v>0</v>
      </c>
      <c r="T32" s="1">
        <f t="shared" ref="T32:T46" si="39">AM14</f>
        <v>0</v>
      </c>
      <c r="U32" s="10">
        <f t="shared" ref="U32" si="40">SUM(N32:T32)</f>
        <v>0</v>
      </c>
      <c r="Y32" s="6">
        <f t="shared" ref="Y32:Y46" si="41">F32</f>
        <v>0</v>
      </c>
      <c r="Z32" s="6">
        <f t="shared" ref="Z32:Z46" si="42">G32</f>
        <v>2</v>
      </c>
      <c r="AA32" s="6">
        <f t="shared" ref="AA32:AA46" si="43">H32</f>
        <v>2</v>
      </c>
      <c r="AB32" s="6">
        <f t="shared" ref="AB32:AB46" si="44">I32</f>
        <v>2</v>
      </c>
      <c r="AC32" s="6">
        <f t="shared" ref="AC32:AC46" si="45">J32</f>
        <v>2</v>
      </c>
      <c r="AD32" s="6">
        <f t="shared" ref="AD32:AD46" si="46">K32</f>
        <v>2</v>
      </c>
      <c r="AE32" s="6">
        <f t="shared" ref="AE32:AE46" si="47">L32</f>
        <v>2</v>
      </c>
      <c r="AF32" s="8"/>
      <c r="AG32" s="1">
        <f t="shared" ref="AG32:AG46" si="48">N32</f>
        <v>0</v>
      </c>
      <c r="AH32" s="1">
        <f t="shared" ref="AH32:AH46" si="49">O32</f>
        <v>0</v>
      </c>
      <c r="AI32" s="1">
        <f t="shared" ref="AI32:AI46" si="50">P32</f>
        <v>0</v>
      </c>
      <c r="AJ32" s="1">
        <f t="shared" ref="AJ32:AJ46" si="51">Q32</f>
        <v>0</v>
      </c>
      <c r="AK32" s="1">
        <f t="shared" ref="AK32:AK46" si="52">R32</f>
        <v>0</v>
      </c>
      <c r="AL32" s="1">
        <f t="shared" ref="AL32:AL46" si="53">S32</f>
        <v>0</v>
      </c>
      <c r="AM32" s="1">
        <f t="shared" ref="AM32:AM46" si="54">T32</f>
        <v>0</v>
      </c>
      <c r="AN32" s="10">
        <f t="shared" ref="AN32" si="55">SUM(AG32:AM32)</f>
        <v>0</v>
      </c>
    </row>
    <row r="33" spans="1:46" x14ac:dyDescent="0.25">
      <c r="A33" t="s">
        <v>23</v>
      </c>
      <c r="B33" s="4"/>
      <c r="C33" s="11"/>
      <c r="D33" s="11"/>
      <c r="E33" s="11"/>
      <c r="F33" s="6">
        <f t="shared" si="26"/>
        <v>0</v>
      </c>
      <c r="G33" s="6">
        <f t="shared" si="27"/>
        <v>2</v>
      </c>
      <c r="H33" s="6">
        <f t="shared" si="28"/>
        <v>2</v>
      </c>
      <c r="I33" s="6">
        <f t="shared" si="29"/>
        <v>2</v>
      </c>
      <c r="J33" s="6">
        <f t="shared" si="30"/>
        <v>2</v>
      </c>
      <c r="K33" s="6">
        <f t="shared" si="31"/>
        <v>2</v>
      </c>
      <c r="L33" s="6">
        <f t="shared" si="32"/>
        <v>2</v>
      </c>
      <c r="M33" s="8"/>
      <c r="N33" s="1">
        <f t="shared" si="33"/>
        <v>0</v>
      </c>
      <c r="O33" s="1">
        <f t="shared" si="34"/>
        <v>0</v>
      </c>
      <c r="P33" s="1">
        <f t="shared" si="35"/>
        <v>0</v>
      </c>
      <c r="Q33" s="1">
        <f t="shared" si="36"/>
        <v>0</v>
      </c>
      <c r="R33" s="1">
        <f t="shared" si="37"/>
        <v>0</v>
      </c>
      <c r="S33" s="1">
        <f t="shared" si="38"/>
        <v>0</v>
      </c>
      <c r="T33" s="1">
        <f t="shared" si="39"/>
        <v>0</v>
      </c>
      <c r="U33" s="10">
        <f>SUM(N33:T33)</f>
        <v>0</v>
      </c>
      <c r="Y33" s="6">
        <f t="shared" si="41"/>
        <v>0</v>
      </c>
      <c r="Z33" s="6">
        <f t="shared" si="42"/>
        <v>2</v>
      </c>
      <c r="AA33" s="6">
        <f t="shared" si="43"/>
        <v>2</v>
      </c>
      <c r="AB33" s="6">
        <f t="shared" si="44"/>
        <v>2</v>
      </c>
      <c r="AC33" s="6">
        <f t="shared" si="45"/>
        <v>2</v>
      </c>
      <c r="AD33" s="6">
        <f t="shared" si="46"/>
        <v>2</v>
      </c>
      <c r="AE33" s="6">
        <f t="shared" si="47"/>
        <v>2</v>
      </c>
      <c r="AF33" s="8"/>
      <c r="AG33" s="1">
        <f t="shared" si="48"/>
        <v>0</v>
      </c>
      <c r="AH33" s="1">
        <f t="shared" si="49"/>
        <v>0</v>
      </c>
      <c r="AI33" s="1">
        <f t="shared" si="50"/>
        <v>0</v>
      </c>
      <c r="AJ33" s="1">
        <f t="shared" si="51"/>
        <v>0</v>
      </c>
      <c r="AK33" s="1">
        <f t="shared" si="52"/>
        <v>0</v>
      </c>
      <c r="AL33" s="1">
        <f t="shared" si="53"/>
        <v>0</v>
      </c>
      <c r="AM33" s="1">
        <f t="shared" si="54"/>
        <v>0</v>
      </c>
      <c r="AN33" s="10">
        <f>SUM(AG33:AM33)</f>
        <v>0</v>
      </c>
    </row>
    <row r="34" spans="1:46" x14ac:dyDescent="0.25">
      <c r="A34" t="s">
        <v>24</v>
      </c>
      <c r="B34" s="4"/>
      <c r="C34" s="11"/>
      <c r="D34" s="11"/>
      <c r="E34" s="11"/>
      <c r="F34" s="6">
        <f t="shared" si="26"/>
        <v>0</v>
      </c>
      <c r="G34" s="6">
        <f t="shared" si="27"/>
        <v>2</v>
      </c>
      <c r="H34" s="6">
        <f t="shared" si="28"/>
        <v>2</v>
      </c>
      <c r="I34" s="6">
        <f t="shared" si="29"/>
        <v>2</v>
      </c>
      <c r="J34" s="6">
        <f t="shared" si="30"/>
        <v>2</v>
      </c>
      <c r="K34" s="6">
        <f t="shared" si="31"/>
        <v>2</v>
      </c>
      <c r="L34" s="6">
        <f t="shared" si="32"/>
        <v>2</v>
      </c>
      <c r="M34" s="8"/>
      <c r="N34" s="1">
        <f t="shared" si="33"/>
        <v>0</v>
      </c>
      <c r="O34" s="1">
        <f t="shared" si="34"/>
        <v>0</v>
      </c>
      <c r="P34" s="1">
        <f t="shared" si="35"/>
        <v>0</v>
      </c>
      <c r="Q34" s="1">
        <f t="shared" si="36"/>
        <v>0</v>
      </c>
      <c r="R34" s="1">
        <f t="shared" si="37"/>
        <v>0</v>
      </c>
      <c r="S34" s="1">
        <f t="shared" si="38"/>
        <v>0</v>
      </c>
      <c r="T34" s="1">
        <f t="shared" si="39"/>
        <v>0</v>
      </c>
      <c r="U34" s="10">
        <f>SUM(N34:T34)</f>
        <v>0</v>
      </c>
      <c r="Y34" s="6">
        <f t="shared" si="41"/>
        <v>0</v>
      </c>
      <c r="Z34" s="6">
        <f t="shared" si="42"/>
        <v>2</v>
      </c>
      <c r="AA34" s="6">
        <f t="shared" si="43"/>
        <v>2</v>
      </c>
      <c r="AB34" s="6">
        <f t="shared" si="44"/>
        <v>2</v>
      </c>
      <c r="AC34" s="6">
        <f t="shared" si="45"/>
        <v>2</v>
      </c>
      <c r="AD34" s="6">
        <f t="shared" si="46"/>
        <v>2</v>
      </c>
      <c r="AE34" s="6">
        <f t="shared" si="47"/>
        <v>2</v>
      </c>
      <c r="AF34" s="8"/>
      <c r="AG34" s="1">
        <f t="shared" si="48"/>
        <v>0</v>
      </c>
      <c r="AH34" s="1">
        <f t="shared" si="49"/>
        <v>0</v>
      </c>
      <c r="AI34" s="1">
        <f t="shared" si="50"/>
        <v>0</v>
      </c>
      <c r="AJ34" s="1">
        <f t="shared" si="51"/>
        <v>0</v>
      </c>
      <c r="AK34" s="1">
        <f t="shared" si="52"/>
        <v>0</v>
      </c>
      <c r="AL34" s="1">
        <f t="shared" si="53"/>
        <v>0</v>
      </c>
      <c r="AM34" s="1">
        <f t="shared" si="54"/>
        <v>0</v>
      </c>
      <c r="AN34" s="10">
        <f>SUM(AG34:AM34)</f>
        <v>0</v>
      </c>
    </row>
    <row r="35" spans="1:46" x14ac:dyDescent="0.25">
      <c r="A35" t="s">
        <v>25</v>
      </c>
      <c r="B35" s="4"/>
      <c r="C35" s="11"/>
      <c r="D35" s="11"/>
      <c r="E35" s="11"/>
      <c r="F35" s="6">
        <f t="shared" si="26"/>
        <v>0</v>
      </c>
      <c r="G35" s="6">
        <f t="shared" si="27"/>
        <v>2</v>
      </c>
      <c r="H35" s="6">
        <f t="shared" si="28"/>
        <v>2</v>
      </c>
      <c r="I35" s="6">
        <f t="shared" si="29"/>
        <v>2</v>
      </c>
      <c r="J35" s="6">
        <f t="shared" si="30"/>
        <v>2</v>
      </c>
      <c r="K35" s="6">
        <f t="shared" si="31"/>
        <v>2</v>
      </c>
      <c r="L35" s="6">
        <f t="shared" si="32"/>
        <v>2</v>
      </c>
      <c r="M35" s="8"/>
      <c r="N35" s="1">
        <f t="shared" si="33"/>
        <v>0</v>
      </c>
      <c r="O35" s="1">
        <f t="shared" si="34"/>
        <v>0</v>
      </c>
      <c r="P35" s="1">
        <f t="shared" si="35"/>
        <v>0</v>
      </c>
      <c r="Q35" s="1">
        <f t="shared" si="36"/>
        <v>0</v>
      </c>
      <c r="R35" s="1">
        <f t="shared" si="37"/>
        <v>0</v>
      </c>
      <c r="S35" s="1">
        <f t="shared" si="38"/>
        <v>0</v>
      </c>
      <c r="T35" s="1">
        <f t="shared" si="39"/>
        <v>0</v>
      </c>
      <c r="U35" s="10">
        <f t="shared" ref="U35:U42" si="56">SUM(N35:T35)</f>
        <v>0</v>
      </c>
      <c r="Y35" s="6">
        <f t="shared" si="41"/>
        <v>0</v>
      </c>
      <c r="Z35" s="6">
        <f t="shared" si="42"/>
        <v>2</v>
      </c>
      <c r="AA35" s="6">
        <f t="shared" si="43"/>
        <v>2</v>
      </c>
      <c r="AB35" s="6">
        <f t="shared" si="44"/>
        <v>2</v>
      </c>
      <c r="AC35" s="6">
        <f t="shared" si="45"/>
        <v>2</v>
      </c>
      <c r="AD35" s="6">
        <f t="shared" si="46"/>
        <v>2</v>
      </c>
      <c r="AE35" s="6">
        <f t="shared" si="47"/>
        <v>2</v>
      </c>
      <c r="AF35" s="8"/>
      <c r="AG35" s="1">
        <f t="shared" si="48"/>
        <v>0</v>
      </c>
      <c r="AH35" s="1">
        <f t="shared" si="49"/>
        <v>0</v>
      </c>
      <c r="AI35" s="1">
        <f t="shared" si="50"/>
        <v>0</v>
      </c>
      <c r="AJ35" s="1">
        <f t="shared" si="51"/>
        <v>0</v>
      </c>
      <c r="AK35" s="1">
        <f t="shared" si="52"/>
        <v>0</v>
      </c>
      <c r="AL35" s="1">
        <f t="shared" si="53"/>
        <v>0</v>
      </c>
      <c r="AM35" s="1">
        <f t="shared" si="54"/>
        <v>0</v>
      </c>
      <c r="AN35" s="10">
        <f t="shared" ref="AN35:AN42" si="57">SUM(AG35:AM35)</f>
        <v>0</v>
      </c>
    </row>
    <row r="36" spans="1:46" x14ac:dyDescent="0.25">
      <c r="A36" t="s">
        <v>26</v>
      </c>
      <c r="B36" s="4"/>
      <c r="C36" s="11"/>
      <c r="D36" s="11"/>
      <c r="E36" s="11"/>
      <c r="F36" s="6">
        <f t="shared" si="26"/>
        <v>0</v>
      </c>
      <c r="G36" s="6">
        <f t="shared" si="27"/>
        <v>2</v>
      </c>
      <c r="H36" s="6">
        <f t="shared" si="28"/>
        <v>2</v>
      </c>
      <c r="I36" s="6">
        <f t="shared" si="29"/>
        <v>2</v>
      </c>
      <c r="J36" s="6">
        <f t="shared" si="30"/>
        <v>2</v>
      </c>
      <c r="K36" s="6">
        <f t="shared" si="31"/>
        <v>2</v>
      </c>
      <c r="L36" s="6">
        <f t="shared" si="32"/>
        <v>2</v>
      </c>
      <c r="M36" s="8"/>
      <c r="N36" s="1">
        <f t="shared" si="33"/>
        <v>0</v>
      </c>
      <c r="O36" s="1">
        <f t="shared" si="34"/>
        <v>0</v>
      </c>
      <c r="P36" s="1">
        <f t="shared" si="35"/>
        <v>0</v>
      </c>
      <c r="Q36" s="1">
        <f t="shared" si="36"/>
        <v>0</v>
      </c>
      <c r="R36" s="1">
        <f t="shared" si="37"/>
        <v>0</v>
      </c>
      <c r="S36" s="1">
        <f t="shared" si="38"/>
        <v>0</v>
      </c>
      <c r="T36" s="1">
        <f t="shared" si="39"/>
        <v>0</v>
      </c>
      <c r="U36" s="10">
        <f t="shared" si="56"/>
        <v>0</v>
      </c>
      <c r="Y36" s="6">
        <f t="shared" si="41"/>
        <v>0</v>
      </c>
      <c r="Z36" s="6">
        <f t="shared" si="42"/>
        <v>2</v>
      </c>
      <c r="AA36" s="6">
        <f t="shared" si="43"/>
        <v>2</v>
      </c>
      <c r="AB36" s="6">
        <f t="shared" si="44"/>
        <v>2</v>
      </c>
      <c r="AC36" s="6">
        <f t="shared" si="45"/>
        <v>2</v>
      </c>
      <c r="AD36" s="6">
        <f t="shared" si="46"/>
        <v>2</v>
      </c>
      <c r="AE36" s="6">
        <f t="shared" si="47"/>
        <v>2</v>
      </c>
      <c r="AF36" s="8"/>
      <c r="AG36" s="1">
        <f t="shared" si="48"/>
        <v>0</v>
      </c>
      <c r="AH36" s="1">
        <f t="shared" si="49"/>
        <v>0</v>
      </c>
      <c r="AI36" s="1">
        <f t="shared" si="50"/>
        <v>0</v>
      </c>
      <c r="AJ36" s="1">
        <f t="shared" si="51"/>
        <v>0</v>
      </c>
      <c r="AK36" s="1">
        <f t="shared" si="52"/>
        <v>0</v>
      </c>
      <c r="AL36" s="1">
        <f t="shared" si="53"/>
        <v>0</v>
      </c>
      <c r="AM36" s="1">
        <f t="shared" si="54"/>
        <v>0</v>
      </c>
      <c r="AN36" s="10">
        <f t="shared" si="57"/>
        <v>0</v>
      </c>
    </row>
    <row r="37" spans="1:46" x14ac:dyDescent="0.25">
      <c r="A37" t="s">
        <v>27</v>
      </c>
      <c r="B37" s="4"/>
      <c r="C37" s="11"/>
      <c r="D37" s="11"/>
      <c r="E37" s="11"/>
      <c r="F37" s="6">
        <f t="shared" si="26"/>
        <v>0</v>
      </c>
      <c r="G37" s="6">
        <f t="shared" si="27"/>
        <v>2</v>
      </c>
      <c r="H37" s="6">
        <f t="shared" si="28"/>
        <v>2</v>
      </c>
      <c r="I37" s="6">
        <f t="shared" si="29"/>
        <v>2</v>
      </c>
      <c r="J37" s="6">
        <f t="shared" si="30"/>
        <v>2</v>
      </c>
      <c r="K37" s="6">
        <f t="shared" si="31"/>
        <v>2</v>
      </c>
      <c r="L37" s="6">
        <f t="shared" si="32"/>
        <v>2</v>
      </c>
      <c r="M37" s="8"/>
      <c r="N37" s="1">
        <f t="shared" si="33"/>
        <v>0</v>
      </c>
      <c r="O37" s="1">
        <f t="shared" si="34"/>
        <v>0</v>
      </c>
      <c r="P37" s="1">
        <f t="shared" si="35"/>
        <v>0</v>
      </c>
      <c r="Q37" s="1">
        <f t="shared" si="36"/>
        <v>0</v>
      </c>
      <c r="R37" s="1">
        <f t="shared" si="37"/>
        <v>0</v>
      </c>
      <c r="S37" s="1">
        <f t="shared" si="38"/>
        <v>0</v>
      </c>
      <c r="T37" s="1">
        <f t="shared" si="39"/>
        <v>0</v>
      </c>
      <c r="U37" s="10">
        <f t="shared" si="56"/>
        <v>0</v>
      </c>
      <c r="Y37" s="6">
        <f t="shared" si="41"/>
        <v>0</v>
      </c>
      <c r="Z37" s="6">
        <f t="shared" si="42"/>
        <v>2</v>
      </c>
      <c r="AA37" s="6">
        <f t="shared" si="43"/>
        <v>2</v>
      </c>
      <c r="AB37" s="6">
        <f t="shared" si="44"/>
        <v>2</v>
      </c>
      <c r="AC37" s="6">
        <f t="shared" si="45"/>
        <v>2</v>
      </c>
      <c r="AD37" s="6">
        <f t="shared" si="46"/>
        <v>2</v>
      </c>
      <c r="AE37" s="6">
        <f t="shared" si="47"/>
        <v>2</v>
      </c>
      <c r="AF37" s="8"/>
      <c r="AG37" s="1">
        <f t="shared" si="48"/>
        <v>0</v>
      </c>
      <c r="AH37" s="1">
        <f t="shared" si="49"/>
        <v>0</v>
      </c>
      <c r="AI37" s="1">
        <f t="shared" si="50"/>
        <v>0</v>
      </c>
      <c r="AJ37" s="1">
        <f t="shared" si="51"/>
        <v>0</v>
      </c>
      <c r="AK37" s="1">
        <f t="shared" si="52"/>
        <v>0</v>
      </c>
      <c r="AL37" s="1">
        <f t="shared" si="53"/>
        <v>0</v>
      </c>
      <c r="AM37" s="1">
        <f t="shared" si="54"/>
        <v>0</v>
      </c>
      <c r="AN37" s="10">
        <f t="shared" si="57"/>
        <v>0</v>
      </c>
      <c r="AP37" t="s">
        <v>57</v>
      </c>
      <c r="AQ37">
        <v>33</v>
      </c>
      <c r="AR37" t="s">
        <v>49</v>
      </c>
      <c r="AS37">
        <v>15</v>
      </c>
    </row>
    <row r="38" spans="1:46" x14ac:dyDescent="0.25">
      <c r="A38" t="s">
        <v>28</v>
      </c>
      <c r="B38" s="4"/>
      <c r="C38" s="11"/>
      <c r="D38" s="11"/>
      <c r="E38" s="11"/>
      <c r="F38" s="6">
        <f t="shared" si="26"/>
        <v>0</v>
      </c>
      <c r="G38" s="6">
        <f t="shared" si="27"/>
        <v>2</v>
      </c>
      <c r="H38" s="6">
        <f t="shared" si="28"/>
        <v>2</v>
      </c>
      <c r="I38" s="6">
        <f t="shared" si="29"/>
        <v>2</v>
      </c>
      <c r="J38" s="6">
        <f t="shared" si="30"/>
        <v>2</v>
      </c>
      <c r="K38" s="6">
        <f t="shared" si="31"/>
        <v>2</v>
      </c>
      <c r="L38" s="6">
        <f t="shared" si="32"/>
        <v>2</v>
      </c>
      <c r="M38" s="8"/>
      <c r="N38" s="1">
        <f t="shared" si="33"/>
        <v>0</v>
      </c>
      <c r="O38" s="1">
        <f t="shared" si="34"/>
        <v>0</v>
      </c>
      <c r="P38" s="1">
        <f t="shared" si="35"/>
        <v>0</v>
      </c>
      <c r="Q38" s="1">
        <f t="shared" si="36"/>
        <v>0</v>
      </c>
      <c r="R38" s="1">
        <f t="shared" si="37"/>
        <v>0</v>
      </c>
      <c r="S38" s="1">
        <f t="shared" si="38"/>
        <v>0</v>
      </c>
      <c r="T38" s="1">
        <f t="shared" si="39"/>
        <v>0</v>
      </c>
      <c r="U38" s="10">
        <f t="shared" si="56"/>
        <v>0</v>
      </c>
      <c r="Y38" s="6">
        <f t="shared" si="41"/>
        <v>0</v>
      </c>
      <c r="Z38" s="6">
        <f t="shared" si="42"/>
        <v>2</v>
      </c>
      <c r="AA38" s="6">
        <f t="shared" si="43"/>
        <v>2</v>
      </c>
      <c r="AB38" s="6">
        <f t="shared" si="44"/>
        <v>2</v>
      </c>
      <c r="AC38" s="6">
        <f t="shared" si="45"/>
        <v>2</v>
      </c>
      <c r="AD38" s="6">
        <f t="shared" si="46"/>
        <v>2</v>
      </c>
      <c r="AE38" s="6">
        <f t="shared" si="47"/>
        <v>2</v>
      </c>
      <c r="AF38" s="8"/>
      <c r="AG38" s="1">
        <f t="shared" si="48"/>
        <v>0</v>
      </c>
      <c r="AH38" s="1">
        <f t="shared" si="49"/>
        <v>0</v>
      </c>
      <c r="AI38" s="1">
        <f t="shared" si="50"/>
        <v>0</v>
      </c>
      <c r="AJ38" s="1">
        <f t="shared" si="51"/>
        <v>0</v>
      </c>
      <c r="AK38" s="1">
        <f t="shared" si="52"/>
        <v>0</v>
      </c>
      <c r="AL38" s="1">
        <f t="shared" si="53"/>
        <v>0</v>
      </c>
      <c r="AM38" s="1">
        <f t="shared" si="54"/>
        <v>0</v>
      </c>
      <c r="AN38" s="10">
        <f t="shared" si="57"/>
        <v>0</v>
      </c>
      <c r="AQ38">
        <f>AQ37*7</f>
        <v>231</v>
      </c>
      <c r="AS38">
        <f>AS37*7</f>
        <v>105</v>
      </c>
      <c r="AT38">
        <f>AQ38+AS38</f>
        <v>336</v>
      </c>
    </row>
    <row r="39" spans="1:46" x14ac:dyDescent="0.25">
      <c r="A39" t="s">
        <v>29</v>
      </c>
      <c r="B39" s="4" t="s">
        <v>139</v>
      </c>
      <c r="C39" s="11" t="s">
        <v>50</v>
      </c>
      <c r="D39" s="11">
        <v>18</v>
      </c>
      <c r="E39" s="11">
        <v>80</v>
      </c>
      <c r="F39" s="6">
        <f t="shared" si="26"/>
        <v>0</v>
      </c>
      <c r="G39" s="6">
        <v>7</v>
      </c>
      <c r="H39" s="6">
        <v>10</v>
      </c>
      <c r="I39" s="6">
        <f t="shared" si="29"/>
        <v>2</v>
      </c>
      <c r="J39" s="6">
        <f t="shared" si="30"/>
        <v>2</v>
      </c>
      <c r="K39" s="6">
        <f t="shared" si="31"/>
        <v>2</v>
      </c>
      <c r="L39" s="6">
        <f t="shared" si="32"/>
        <v>2</v>
      </c>
      <c r="M39" s="8">
        <f>(2910+225)*1.008</f>
        <v>3160.08</v>
      </c>
      <c r="N39" s="1">
        <f t="shared" si="33"/>
        <v>0</v>
      </c>
      <c r="O39" s="1">
        <v>18</v>
      </c>
      <c r="P39" s="1">
        <v>33</v>
      </c>
      <c r="Q39" s="1">
        <f t="shared" si="36"/>
        <v>0</v>
      </c>
      <c r="R39" s="1">
        <f t="shared" si="37"/>
        <v>0</v>
      </c>
      <c r="S39" s="1">
        <f t="shared" si="38"/>
        <v>0</v>
      </c>
      <c r="T39" s="1">
        <f t="shared" si="39"/>
        <v>0</v>
      </c>
      <c r="U39" s="10">
        <f t="shared" si="56"/>
        <v>51</v>
      </c>
      <c r="W39">
        <f>D39+3</f>
        <v>21</v>
      </c>
      <c r="X39">
        <f>E39+$AT$41</f>
        <v>80</v>
      </c>
      <c r="Y39" s="6">
        <f t="shared" si="41"/>
        <v>0</v>
      </c>
      <c r="Z39" s="6">
        <f t="shared" si="42"/>
        <v>7</v>
      </c>
      <c r="AA39" s="6">
        <v>12</v>
      </c>
      <c r="AB39" s="6">
        <f t="shared" si="44"/>
        <v>2</v>
      </c>
      <c r="AC39" s="6">
        <f t="shared" si="45"/>
        <v>2</v>
      </c>
      <c r="AD39" s="6">
        <v>10</v>
      </c>
      <c r="AE39" s="6">
        <f t="shared" si="47"/>
        <v>2</v>
      </c>
      <c r="AF39" s="8">
        <f>(8670+1315+225)*1.008</f>
        <v>10291.68</v>
      </c>
      <c r="AG39" s="1">
        <f t="shared" si="48"/>
        <v>0</v>
      </c>
      <c r="AH39" s="1">
        <f t="shared" si="49"/>
        <v>18</v>
      </c>
      <c r="AI39" s="1">
        <v>48</v>
      </c>
      <c r="AJ39" s="1">
        <f t="shared" si="51"/>
        <v>0</v>
      </c>
      <c r="AK39" s="1">
        <f t="shared" si="52"/>
        <v>0</v>
      </c>
      <c r="AL39" s="1">
        <v>33</v>
      </c>
      <c r="AM39" s="1">
        <f t="shared" si="54"/>
        <v>0</v>
      </c>
      <c r="AN39" s="10">
        <f t="shared" si="57"/>
        <v>99</v>
      </c>
      <c r="AQ39">
        <f>AQ38-112</f>
        <v>119</v>
      </c>
      <c r="AT39">
        <f>AT38-112</f>
        <v>224</v>
      </c>
    </row>
    <row r="40" spans="1:46" x14ac:dyDescent="0.25">
      <c r="A40" t="s">
        <v>72</v>
      </c>
      <c r="B40" s="4" t="s">
        <v>139</v>
      </c>
      <c r="C40" s="11" t="s">
        <v>50</v>
      </c>
      <c r="D40" s="11">
        <v>18</v>
      </c>
      <c r="E40" s="11">
        <v>80</v>
      </c>
      <c r="F40" s="6">
        <f t="shared" si="26"/>
        <v>0</v>
      </c>
      <c r="G40" s="6">
        <v>7</v>
      </c>
      <c r="H40" s="6">
        <v>10</v>
      </c>
      <c r="I40" s="6">
        <f t="shared" si="29"/>
        <v>2</v>
      </c>
      <c r="J40" s="6">
        <f t="shared" si="30"/>
        <v>2</v>
      </c>
      <c r="K40" s="6">
        <f t="shared" si="31"/>
        <v>2</v>
      </c>
      <c r="L40" s="6">
        <f t="shared" si="32"/>
        <v>2</v>
      </c>
      <c r="M40" s="8">
        <f>(2910+225)*1.008</f>
        <v>3160.08</v>
      </c>
      <c r="N40" s="1">
        <f t="shared" si="33"/>
        <v>0</v>
      </c>
      <c r="O40" s="1">
        <v>18</v>
      </c>
      <c r="P40" s="1">
        <v>33</v>
      </c>
      <c r="Q40" s="1">
        <f t="shared" si="36"/>
        <v>0</v>
      </c>
      <c r="R40" s="1">
        <f t="shared" si="37"/>
        <v>0</v>
      </c>
      <c r="S40" s="1">
        <f t="shared" si="38"/>
        <v>0</v>
      </c>
      <c r="T40" s="1">
        <f t="shared" si="39"/>
        <v>0</v>
      </c>
      <c r="U40" s="10">
        <f t="shared" si="56"/>
        <v>51</v>
      </c>
      <c r="W40">
        <f t="shared" ref="W40:W44" si="58">D40+3</f>
        <v>21</v>
      </c>
      <c r="X40">
        <f t="shared" ref="X40:X44" si="59">E40+$AT$41</f>
        <v>80</v>
      </c>
      <c r="Y40" s="6">
        <f t="shared" si="41"/>
        <v>0</v>
      </c>
      <c r="Z40" s="6">
        <f t="shared" si="42"/>
        <v>7</v>
      </c>
      <c r="AA40" s="6">
        <v>12</v>
      </c>
      <c r="AB40" s="6">
        <f t="shared" si="44"/>
        <v>2</v>
      </c>
      <c r="AC40" s="6">
        <f t="shared" si="45"/>
        <v>2</v>
      </c>
      <c r="AD40" s="6">
        <v>10</v>
      </c>
      <c r="AE40" s="6">
        <f t="shared" si="47"/>
        <v>2</v>
      </c>
      <c r="AF40" s="8">
        <f>AF39</f>
        <v>10291.68</v>
      </c>
      <c r="AG40" s="1">
        <f t="shared" si="48"/>
        <v>0</v>
      </c>
      <c r="AH40" s="1">
        <f t="shared" si="49"/>
        <v>18</v>
      </c>
      <c r="AI40" s="1">
        <v>48</v>
      </c>
      <c r="AJ40" s="1">
        <f t="shared" si="51"/>
        <v>0</v>
      </c>
      <c r="AK40" s="1">
        <f t="shared" si="52"/>
        <v>0</v>
      </c>
      <c r="AL40" s="1">
        <v>33</v>
      </c>
      <c r="AM40" s="1">
        <f t="shared" si="54"/>
        <v>0</v>
      </c>
      <c r="AN40" s="10">
        <f t="shared" si="57"/>
        <v>99</v>
      </c>
      <c r="AQ40">
        <f>AQ39-112</f>
        <v>7</v>
      </c>
      <c r="AT40">
        <f>AT39-112</f>
        <v>112</v>
      </c>
    </row>
    <row r="41" spans="1:46" x14ac:dyDescent="0.25">
      <c r="A41" t="s">
        <v>31</v>
      </c>
      <c r="B41" s="4" t="s">
        <v>139</v>
      </c>
      <c r="C41" s="11" t="s">
        <v>50</v>
      </c>
      <c r="D41" s="11">
        <v>18</v>
      </c>
      <c r="E41" s="11">
        <v>80</v>
      </c>
      <c r="F41" s="6">
        <f t="shared" si="26"/>
        <v>0</v>
      </c>
      <c r="G41" s="6">
        <v>7</v>
      </c>
      <c r="H41" s="6">
        <v>10</v>
      </c>
      <c r="I41" s="6">
        <f t="shared" si="29"/>
        <v>2</v>
      </c>
      <c r="J41" s="6">
        <f t="shared" si="30"/>
        <v>2</v>
      </c>
      <c r="K41" s="6">
        <f t="shared" si="31"/>
        <v>2</v>
      </c>
      <c r="L41" s="6">
        <f t="shared" si="32"/>
        <v>2</v>
      </c>
      <c r="M41" s="8">
        <f>(2910+225)*1.008</f>
        <v>3160.08</v>
      </c>
      <c r="N41" s="1">
        <f t="shared" si="33"/>
        <v>0</v>
      </c>
      <c r="O41" s="1">
        <v>18</v>
      </c>
      <c r="P41" s="1">
        <v>33</v>
      </c>
      <c r="Q41" s="1">
        <f t="shared" si="36"/>
        <v>0</v>
      </c>
      <c r="R41" s="1">
        <f t="shared" si="37"/>
        <v>0</v>
      </c>
      <c r="S41" s="1">
        <f t="shared" si="38"/>
        <v>0</v>
      </c>
      <c r="T41" s="1">
        <f t="shared" si="39"/>
        <v>0</v>
      </c>
      <c r="U41" s="10">
        <f t="shared" si="56"/>
        <v>51</v>
      </c>
      <c r="W41">
        <f t="shared" si="58"/>
        <v>21</v>
      </c>
      <c r="X41">
        <f t="shared" si="59"/>
        <v>80</v>
      </c>
      <c r="Y41" s="6">
        <f t="shared" si="41"/>
        <v>0</v>
      </c>
      <c r="Z41" s="6">
        <f t="shared" si="42"/>
        <v>7</v>
      </c>
      <c r="AA41" s="6">
        <v>12</v>
      </c>
      <c r="AB41" s="6">
        <f t="shared" si="44"/>
        <v>2</v>
      </c>
      <c r="AC41" s="6">
        <f t="shared" si="45"/>
        <v>2</v>
      </c>
      <c r="AD41" s="6">
        <v>10</v>
      </c>
      <c r="AE41" s="6">
        <f t="shared" si="47"/>
        <v>2</v>
      </c>
      <c r="AF41" s="8">
        <f>AF40</f>
        <v>10291.68</v>
      </c>
      <c r="AG41" s="1">
        <f t="shared" si="48"/>
        <v>0</v>
      </c>
      <c r="AH41" s="1">
        <f t="shared" si="49"/>
        <v>18</v>
      </c>
      <c r="AI41" s="1">
        <v>48</v>
      </c>
      <c r="AJ41" s="1">
        <f t="shared" si="51"/>
        <v>0</v>
      </c>
      <c r="AK41" s="1">
        <f t="shared" si="52"/>
        <v>0</v>
      </c>
      <c r="AL41" s="1">
        <v>33</v>
      </c>
      <c r="AM41" s="1">
        <f t="shared" si="54"/>
        <v>0</v>
      </c>
      <c r="AN41" s="10">
        <f t="shared" si="57"/>
        <v>99</v>
      </c>
      <c r="AT41">
        <f>AT40-112</f>
        <v>0</v>
      </c>
    </row>
    <row r="42" spans="1:46" x14ac:dyDescent="0.25">
      <c r="A42" t="s">
        <v>33</v>
      </c>
      <c r="B42" s="4" t="str">
        <f>B24</f>
        <v>E. Cubas</v>
      </c>
      <c r="C42" s="11" t="str">
        <f>C24</f>
        <v>RAP</v>
      </c>
      <c r="D42" s="11">
        <f>W24</f>
        <v>18</v>
      </c>
      <c r="E42" s="11">
        <f>X24</f>
        <v>95.5</v>
      </c>
      <c r="F42" s="6">
        <f t="shared" si="26"/>
        <v>0</v>
      </c>
      <c r="G42" s="6">
        <f t="shared" si="27"/>
        <v>2</v>
      </c>
      <c r="H42" s="6">
        <f t="shared" si="28"/>
        <v>5.7</v>
      </c>
      <c r="I42" s="6">
        <f t="shared" si="29"/>
        <v>9.5</v>
      </c>
      <c r="J42" s="6">
        <f t="shared" si="30"/>
        <v>8.6</v>
      </c>
      <c r="K42" s="6">
        <f t="shared" si="31"/>
        <v>3</v>
      </c>
      <c r="L42" s="6">
        <f t="shared" si="32"/>
        <v>2</v>
      </c>
      <c r="M42" s="8">
        <f>AF24</f>
        <v>2449.44</v>
      </c>
      <c r="N42" s="1">
        <f t="shared" si="33"/>
        <v>0</v>
      </c>
      <c r="O42" s="1">
        <f t="shared" si="34"/>
        <v>0</v>
      </c>
      <c r="P42" s="1">
        <f t="shared" si="35"/>
        <v>11</v>
      </c>
      <c r="Q42" s="1">
        <f t="shared" si="36"/>
        <v>20.5</v>
      </c>
      <c r="R42" s="1">
        <f t="shared" si="37"/>
        <v>21</v>
      </c>
      <c r="S42" s="1">
        <f t="shared" si="38"/>
        <v>2</v>
      </c>
      <c r="T42" s="1">
        <f t="shared" si="39"/>
        <v>0</v>
      </c>
      <c r="U42" s="10">
        <f t="shared" si="56"/>
        <v>54.5</v>
      </c>
      <c r="W42">
        <f t="shared" si="58"/>
        <v>21</v>
      </c>
      <c r="X42">
        <f t="shared" si="59"/>
        <v>95.5</v>
      </c>
      <c r="Y42" s="6">
        <f t="shared" si="41"/>
        <v>0</v>
      </c>
      <c r="Z42" s="6">
        <f t="shared" si="42"/>
        <v>2</v>
      </c>
      <c r="AA42" s="6">
        <v>9</v>
      </c>
      <c r="AB42" s="6">
        <f t="shared" si="44"/>
        <v>9.5</v>
      </c>
      <c r="AC42" s="6">
        <f t="shared" si="45"/>
        <v>8.6</v>
      </c>
      <c r="AD42" s="6">
        <f>10+2/7</f>
        <v>10.285714285714286</v>
      </c>
      <c r="AE42" s="6">
        <f t="shared" si="47"/>
        <v>2</v>
      </c>
      <c r="AF42" s="8">
        <f>(2850+620+170+785)*1.008</f>
        <v>4460.3999999999996</v>
      </c>
      <c r="AG42" s="1">
        <f t="shared" si="48"/>
        <v>0</v>
      </c>
      <c r="AH42" s="1">
        <f t="shared" si="49"/>
        <v>0</v>
      </c>
      <c r="AI42" s="1">
        <f>P42+15</f>
        <v>26</v>
      </c>
      <c r="AJ42" s="1">
        <f t="shared" si="51"/>
        <v>20.5</v>
      </c>
      <c r="AK42" s="1">
        <f t="shared" si="52"/>
        <v>21</v>
      </c>
      <c r="AL42" s="1">
        <f>2+33</f>
        <v>35</v>
      </c>
      <c r="AM42" s="1">
        <f t="shared" si="54"/>
        <v>0</v>
      </c>
      <c r="AN42" s="10">
        <f t="shared" si="57"/>
        <v>102.5</v>
      </c>
    </row>
    <row r="43" spans="1:46" x14ac:dyDescent="0.25">
      <c r="A43" t="s">
        <v>34</v>
      </c>
      <c r="B43" s="4" t="str">
        <f t="shared" ref="B43:C44" si="60">B25</f>
        <v>V. Gomis</v>
      </c>
      <c r="C43" s="11" t="str">
        <f t="shared" si="60"/>
        <v>IMP</v>
      </c>
      <c r="D43" s="11">
        <f t="shared" ref="D43:E43" si="61">W25</f>
        <v>18</v>
      </c>
      <c r="E43" s="11">
        <f t="shared" si="61"/>
        <v>99.5</v>
      </c>
      <c r="F43" s="6">
        <f t="shared" si="26"/>
        <v>0</v>
      </c>
      <c r="G43" s="6">
        <f t="shared" si="27"/>
        <v>6</v>
      </c>
      <c r="H43" s="6">
        <f t="shared" si="28"/>
        <v>3</v>
      </c>
      <c r="I43" s="6">
        <f t="shared" si="29"/>
        <v>8</v>
      </c>
      <c r="J43" s="6">
        <f t="shared" si="30"/>
        <v>8.6</v>
      </c>
      <c r="K43" s="6">
        <f t="shared" si="31"/>
        <v>2</v>
      </c>
      <c r="L43" s="6">
        <f t="shared" si="32"/>
        <v>0</v>
      </c>
      <c r="M43" s="8">
        <f t="shared" ref="M43:M44" si="62">AF25</f>
        <v>1450</v>
      </c>
      <c r="N43" s="1">
        <f t="shared" si="33"/>
        <v>0</v>
      </c>
      <c r="O43" s="1">
        <f t="shared" si="34"/>
        <v>14</v>
      </c>
      <c r="P43" s="1">
        <f t="shared" si="35"/>
        <v>3</v>
      </c>
      <c r="Q43" s="1">
        <f t="shared" si="36"/>
        <v>15</v>
      </c>
      <c r="R43" s="1">
        <f t="shared" si="37"/>
        <v>21</v>
      </c>
      <c r="S43" s="1">
        <f t="shared" si="38"/>
        <v>0</v>
      </c>
      <c r="T43" s="1">
        <f t="shared" si="39"/>
        <v>-2</v>
      </c>
      <c r="U43" s="10">
        <f>SUM(N43:T43)</f>
        <v>51</v>
      </c>
      <c r="W43">
        <f t="shared" si="58"/>
        <v>21</v>
      </c>
      <c r="X43">
        <f t="shared" si="59"/>
        <v>99.5</v>
      </c>
      <c r="Y43" s="6">
        <f t="shared" si="41"/>
        <v>0</v>
      </c>
      <c r="Z43" s="6">
        <f t="shared" si="42"/>
        <v>6</v>
      </c>
      <c r="AA43" s="6">
        <v>7.5</v>
      </c>
      <c r="AB43" s="6">
        <f t="shared" si="44"/>
        <v>8</v>
      </c>
      <c r="AC43" s="6">
        <f t="shared" si="45"/>
        <v>8.6</v>
      </c>
      <c r="AD43" s="6">
        <v>10</v>
      </c>
      <c r="AE43" s="6">
        <f t="shared" si="47"/>
        <v>0</v>
      </c>
      <c r="AF43" s="8">
        <f>(2630+140+275+165+330)*1</f>
        <v>3540</v>
      </c>
      <c r="AG43" s="1">
        <f t="shared" si="48"/>
        <v>0</v>
      </c>
      <c r="AH43" s="1">
        <f t="shared" si="49"/>
        <v>14</v>
      </c>
      <c r="AI43" s="1">
        <f>P43+15</f>
        <v>18</v>
      </c>
      <c r="AJ43" s="1">
        <f t="shared" si="51"/>
        <v>15</v>
      </c>
      <c r="AK43" s="1">
        <f t="shared" si="52"/>
        <v>21</v>
      </c>
      <c r="AL43" s="1">
        <v>33</v>
      </c>
      <c r="AM43" s="1">
        <f t="shared" si="54"/>
        <v>-2</v>
      </c>
      <c r="AN43" s="10">
        <f>SUM(AG43:AM43)</f>
        <v>99</v>
      </c>
    </row>
    <row r="44" spans="1:46" x14ac:dyDescent="0.25">
      <c r="A44" t="s">
        <v>35</v>
      </c>
      <c r="B44" s="4" t="str">
        <f t="shared" si="60"/>
        <v>J.G. Peñuela</v>
      </c>
      <c r="C44" s="11" t="str">
        <f t="shared" si="60"/>
        <v>IMP</v>
      </c>
      <c r="D44" s="11">
        <f t="shared" ref="D44:E44" si="63">W26</f>
        <v>18</v>
      </c>
      <c r="E44" s="11">
        <f t="shared" si="63"/>
        <v>95.5</v>
      </c>
      <c r="F44" s="6">
        <f t="shared" si="26"/>
        <v>0</v>
      </c>
      <c r="G44" s="6">
        <f t="shared" si="27"/>
        <v>3</v>
      </c>
      <c r="H44" s="6">
        <f t="shared" si="28"/>
        <v>5</v>
      </c>
      <c r="I44" s="6">
        <f t="shared" si="29"/>
        <v>8.8333333333333339</v>
      </c>
      <c r="J44" s="6">
        <f t="shared" si="30"/>
        <v>8</v>
      </c>
      <c r="K44" s="6">
        <f t="shared" si="31"/>
        <v>3</v>
      </c>
      <c r="L44" s="6">
        <f t="shared" si="32"/>
        <v>0</v>
      </c>
      <c r="M44" s="8">
        <f t="shared" si="62"/>
        <v>1745</v>
      </c>
      <c r="N44" s="1">
        <f t="shared" si="33"/>
        <v>0</v>
      </c>
      <c r="O44" s="1">
        <f t="shared" si="34"/>
        <v>3</v>
      </c>
      <c r="P44" s="1">
        <f t="shared" si="35"/>
        <v>9</v>
      </c>
      <c r="Q44" s="1">
        <f t="shared" si="36"/>
        <v>17.5</v>
      </c>
      <c r="R44" s="1">
        <f t="shared" si="37"/>
        <v>18</v>
      </c>
      <c r="S44" s="1">
        <f t="shared" si="38"/>
        <v>2</v>
      </c>
      <c r="T44" s="1">
        <f t="shared" si="39"/>
        <v>-2</v>
      </c>
      <c r="U44" s="10">
        <f>SUM(N44:T44)</f>
        <v>47.5</v>
      </c>
      <c r="W44">
        <f t="shared" si="58"/>
        <v>21</v>
      </c>
      <c r="X44">
        <f t="shared" si="59"/>
        <v>95.5</v>
      </c>
      <c r="Y44" s="6">
        <f t="shared" si="41"/>
        <v>0</v>
      </c>
      <c r="Z44" s="6">
        <f t="shared" si="42"/>
        <v>3</v>
      </c>
      <c r="AA44" s="6">
        <f>8+3/5</f>
        <v>8.6</v>
      </c>
      <c r="AB44" s="6">
        <f t="shared" si="44"/>
        <v>8.8333333333333339</v>
      </c>
      <c r="AC44" s="6">
        <f t="shared" si="45"/>
        <v>8</v>
      </c>
      <c r="AD44" s="6">
        <f>AD42</f>
        <v>10.285714285714286</v>
      </c>
      <c r="AE44" s="6">
        <f t="shared" si="47"/>
        <v>0</v>
      </c>
      <c r="AF44" s="8">
        <f>(2630+135+420+615)*1</f>
        <v>3800</v>
      </c>
      <c r="AG44" s="1">
        <f t="shared" si="48"/>
        <v>0</v>
      </c>
      <c r="AH44" s="1">
        <f t="shared" si="49"/>
        <v>3</v>
      </c>
      <c r="AI44" s="1">
        <f>P44+15</f>
        <v>24</v>
      </c>
      <c r="AJ44" s="1">
        <f t="shared" si="51"/>
        <v>17.5</v>
      </c>
      <c r="AK44" s="1">
        <f t="shared" si="52"/>
        <v>18</v>
      </c>
      <c r="AL44" s="1">
        <f>2+33</f>
        <v>35</v>
      </c>
      <c r="AM44" s="1">
        <f t="shared" si="54"/>
        <v>-2</v>
      </c>
      <c r="AN44" s="10">
        <f>SUM(AG44:AM44)</f>
        <v>95.5</v>
      </c>
    </row>
    <row r="45" spans="1:46" x14ac:dyDescent="0.25">
      <c r="A45" t="s">
        <v>37</v>
      </c>
      <c r="B45" s="4"/>
      <c r="C45" s="11"/>
      <c r="D45" s="11"/>
      <c r="E45" s="11"/>
      <c r="F45" s="6">
        <f t="shared" si="26"/>
        <v>0</v>
      </c>
      <c r="G45" s="6">
        <f t="shared" si="27"/>
        <v>2</v>
      </c>
      <c r="H45" s="6">
        <f t="shared" si="28"/>
        <v>2</v>
      </c>
      <c r="I45" s="6">
        <f t="shared" si="29"/>
        <v>2</v>
      </c>
      <c r="J45" s="6">
        <f t="shared" si="30"/>
        <v>2</v>
      </c>
      <c r="K45" s="6">
        <f t="shared" si="31"/>
        <v>2</v>
      </c>
      <c r="L45" s="6">
        <f t="shared" si="32"/>
        <v>2</v>
      </c>
      <c r="M45" s="8"/>
      <c r="N45" s="1">
        <f t="shared" si="33"/>
        <v>0</v>
      </c>
      <c r="O45" s="1">
        <f t="shared" si="34"/>
        <v>0</v>
      </c>
      <c r="P45" s="1">
        <f t="shared" si="35"/>
        <v>0</v>
      </c>
      <c r="Q45" s="1">
        <f t="shared" si="36"/>
        <v>0</v>
      </c>
      <c r="R45" s="1">
        <f t="shared" si="37"/>
        <v>0</v>
      </c>
      <c r="S45" s="1">
        <f t="shared" si="38"/>
        <v>0</v>
      </c>
      <c r="T45" s="1">
        <f t="shared" si="39"/>
        <v>0</v>
      </c>
      <c r="U45" s="10">
        <f t="shared" ref="U45:U46" si="64">SUM(N45:T45)</f>
        <v>0</v>
      </c>
      <c r="Y45" s="6">
        <f t="shared" si="41"/>
        <v>0</v>
      </c>
      <c r="Z45" s="6">
        <f t="shared" si="42"/>
        <v>2</v>
      </c>
      <c r="AA45" s="6">
        <f t="shared" si="43"/>
        <v>2</v>
      </c>
      <c r="AB45" s="6">
        <f t="shared" si="44"/>
        <v>2</v>
      </c>
      <c r="AC45" s="6">
        <f t="shared" si="45"/>
        <v>2</v>
      </c>
      <c r="AD45" s="6">
        <f t="shared" si="46"/>
        <v>2</v>
      </c>
      <c r="AE45" s="6">
        <f t="shared" si="47"/>
        <v>2</v>
      </c>
      <c r="AF45" s="8"/>
      <c r="AG45" s="1">
        <f t="shared" si="48"/>
        <v>0</v>
      </c>
      <c r="AH45" s="1">
        <f t="shared" si="49"/>
        <v>0</v>
      </c>
      <c r="AI45" s="1">
        <f t="shared" si="50"/>
        <v>0</v>
      </c>
      <c r="AJ45" s="1">
        <f t="shared" si="51"/>
        <v>0</v>
      </c>
      <c r="AK45" s="1">
        <f t="shared" si="52"/>
        <v>0</v>
      </c>
      <c r="AL45" s="1">
        <f t="shared" si="53"/>
        <v>0</v>
      </c>
      <c r="AM45" s="1">
        <f t="shared" si="54"/>
        <v>0</v>
      </c>
      <c r="AN45" s="10">
        <f t="shared" ref="AN45:AN46" si="65">SUM(AG45:AM45)</f>
        <v>0</v>
      </c>
    </row>
    <row r="46" spans="1:46" x14ac:dyDescent="0.25">
      <c r="A46" t="s">
        <v>121</v>
      </c>
      <c r="B46" s="4"/>
      <c r="C46" s="11"/>
      <c r="D46" s="11"/>
      <c r="E46" s="11"/>
      <c r="F46" s="6">
        <f t="shared" si="26"/>
        <v>0</v>
      </c>
      <c r="G46" s="6">
        <f t="shared" si="27"/>
        <v>2</v>
      </c>
      <c r="H46" s="6">
        <f t="shared" si="28"/>
        <v>2</v>
      </c>
      <c r="I46" s="6">
        <f t="shared" si="29"/>
        <v>2</v>
      </c>
      <c r="J46" s="6">
        <f t="shared" si="30"/>
        <v>2</v>
      </c>
      <c r="K46" s="6">
        <f t="shared" si="31"/>
        <v>2</v>
      </c>
      <c r="L46" s="6">
        <f t="shared" si="32"/>
        <v>2</v>
      </c>
      <c r="M46" s="8"/>
      <c r="N46" s="1">
        <f t="shared" si="33"/>
        <v>0</v>
      </c>
      <c r="O46" s="1">
        <f t="shared" si="34"/>
        <v>0</v>
      </c>
      <c r="P46" s="1">
        <f t="shared" si="35"/>
        <v>0</v>
      </c>
      <c r="Q46" s="1">
        <f t="shared" si="36"/>
        <v>0</v>
      </c>
      <c r="R46" s="1">
        <f t="shared" si="37"/>
        <v>0</v>
      </c>
      <c r="S46" s="1">
        <f t="shared" si="38"/>
        <v>0</v>
      </c>
      <c r="T46" s="1">
        <f t="shared" si="39"/>
        <v>0</v>
      </c>
      <c r="U46" s="10">
        <f t="shared" si="64"/>
        <v>0</v>
      </c>
      <c r="Y46" s="6">
        <f t="shared" si="41"/>
        <v>0</v>
      </c>
      <c r="Z46" s="6">
        <f t="shared" si="42"/>
        <v>2</v>
      </c>
      <c r="AA46" s="6">
        <f t="shared" si="43"/>
        <v>2</v>
      </c>
      <c r="AB46" s="6">
        <f t="shared" si="44"/>
        <v>2</v>
      </c>
      <c r="AC46" s="6">
        <f t="shared" si="45"/>
        <v>2</v>
      </c>
      <c r="AD46" s="6">
        <f t="shared" si="46"/>
        <v>2</v>
      </c>
      <c r="AE46" s="6">
        <f t="shared" si="47"/>
        <v>2</v>
      </c>
      <c r="AF46" s="8"/>
      <c r="AG46" s="1">
        <f t="shared" si="48"/>
        <v>0</v>
      </c>
      <c r="AH46" s="1">
        <f t="shared" si="49"/>
        <v>0</v>
      </c>
      <c r="AI46" s="1">
        <f t="shared" si="50"/>
        <v>0</v>
      </c>
      <c r="AJ46" s="1">
        <f t="shared" si="51"/>
        <v>0</v>
      </c>
      <c r="AK46" s="1">
        <f t="shared" si="52"/>
        <v>0</v>
      </c>
      <c r="AL46" s="1">
        <f t="shared" si="53"/>
        <v>0</v>
      </c>
      <c r="AM46" s="1">
        <f t="shared" si="54"/>
        <v>0</v>
      </c>
      <c r="AN46" s="10">
        <f t="shared" si="65"/>
        <v>0</v>
      </c>
    </row>
    <row r="47" spans="1:46" x14ac:dyDescent="0.25">
      <c r="F47" s="1"/>
      <c r="G47" s="1"/>
      <c r="H47" s="1"/>
      <c r="I47" s="1"/>
      <c r="J47" s="1"/>
      <c r="K47" s="1"/>
      <c r="L47" s="1"/>
      <c r="M47" s="2">
        <f>SUM(M49:M63)</f>
        <v>64407.92</v>
      </c>
      <c r="N47" s="1"/>
      <c r="O47" s="1"/>
      <c r="P47" s="1"/>
      <c r="Q47" s="1"/>
      <c r="R47" s="1"/>
      <c r="S47" s="1"/>
      <c r="T47" s="1"/>
      <c r="U47" s="1"/>
      <c r="Y47" s="1"/>
      <c r="Z47" s="1"/>
      <c r="AA47" s="1"/>
      <c r="AB47" s="1"/>
      <c r="AC47" s="1"/>
      <c r="AD47" s="1"/>
      <c r="AE47" s="1"/>
      <c r="AF47" s="2">
        <f>SUM(AF49:AF63)</f>
        <v>89732.88</v>
      </c>
      <c r="AG47" s="1"/>
      <c r="AH47" s="1"/>
      <c r="AI47" s="1"/>
      <c r="AJ47" s="1"/>
      <c r="AK47" s="1"/>
      <c r="AL47" s="1"/>
      <c r="AM47" s="1"/>
      <c r="AN47" s="1"/>
    </row>
    <row r="48" spans="1:46" x14ac:dyDescent="0.25">
      <c r="A48" s="3" t="s">
        <v>0</v>
      </c>
      <c r="B48" s="3" t="s">
        <v>1</v>
      </c>
      <c r="C48" s="3" t="s">
        <v>2</v>
      </c>
      <c r="D48" s="3" t="s">
        <v>136</v>
      </c>
      <c r="E48" s="3" t="s">
        <v>137</v>
      </c>
      <c r="F48" s="3" t="s">
        <v>3</v>
      </c>
      <c r="G48" s="3" t="s">
        <v>4</v>
      </c>
      <c r="H48" s="3" t="s">
        <v>5</v>
      </c>
      <c r="I48" s="3" t="s">
        <v>6</v>
      </c>
      <c r="J48" s="3" t="s">
        <v>7</v>
      </c>
      <c r="K48" s="3" t="s">
        <v>8</v>
      </c>
      <c r="L48" s="3" t="s">
        <v>9</v>
      </c>
      <c r="M48" s="3" t="s">
        <v>10</v>
      </c>
      <c r="N48" s="3" t="s">
        <v>11</v>
      </c>
      <c r="O48" s="3" t="s">
        <v>12</v>
      </c>
      <c r="P48" s="3" t="s">
        <v>13</v>
      </c>
      <c r="Q48" s="3" t="s">
        <v>14</v>
      </c>
      <c r="R48" s="3" t="s">
        <v>15</v>
      </c>
      <c r="S48" s="3" t="s">
        <v>16</v>
      </c>
      <c r="T48" s="3" t="s">
        <v>17</v>
      </c>
      <c r="U48" s="3" t="s">
        <v>18</v>
      </c>
      <c r="W48" s="3" t="s">
        <v>136</v>
      </c>
      <c r="X48" s="3" t="s">
        <v>137</v>
      </c>
      <c r="Y48" s="3" t="s">
        <v>3</v>
      </c>
      <c r="Z48" s="3" t="s">
        <v>4</v>
      </c>
      <c r="AA48" s="3" t="s">
        <v>5</v>
      </c>
      <c r="AB48" s="3" t="s">
        <v>6</v>
      </c>
      <c r="AC48" s="3" t="s">
        <v>7</v>
      </c>
      <c r="AD48" s="3" t="s">
        <v>8</v>
      </c>
      <c r="AE48" s="3" t="s">
        <v>9</v>
      </c>
      <c r="AF48" s="3" t="s">
        <v>10</v>
      </c>
      <c r="AG48" s="3" t="s">
        <v>11</v>
      </c>
      <c r="AH48" s="3" t="s">
        <v>12</v>
      </c>
      <c r="AI48" s="3" t="s">
        <v>13</v>
      </c>
      <c r="AJ48" s="3" t="s">
        <v>14</v>
      </c>
      <c r="AK48" s="3" t="s">
        <v>15</v>
      </c>
      <c r="AL48" s="3" t="s">
        <v>16</v>
      </c>
      <c r="AM48" s="3" t="s">
        <v>17</v>
      </c>
      <c r="AN48" s="3" t="s">
        <v>18</v>
      </c>
    </row>
    <row r="49" spans="1:43" x14ac:dyDescent="0.25">
      <c r="A49" t="s">
        <v>19</v>
      </c>
      <c r="B49" s="4"/>
      <c r="C49" s="5"/>
      <c r="D49" s="5"/>
      <c r="E49" s="5"/>
      <c r="F49" s="6">
        <f>Y31</f>
        <v>2</v>
      </c>
      <c r="G49" s="6">
        <f t="shared" ref="G49:L49" si="66">Z31</f>
        <v>2</v>
      </c>
      <c r="H49" s="6">
        <f t="shared" si="66"/>
        <v>0</v>
      </c>
      <c r="I49" s="6">
        <f t="shared" si="66"/>
        <v>0</v>
      </c>
      <c r="J49" s="6">
        <f t="shared" si="66"/>
        <v>0</v>
      </c>
      <c r="K49" s="6">
        <f t="shared" si="66"/>
        <v>0</v>
      </c>
      <c r="L49" s="6">
        <f t="shared" si="66"/>
        <v>2</v>
      </c>
      <c r="M49" s="8"/>
      <c r="N49" s="1">
        <f>AG31</f>
        <v>0</v>
      </c>
      <c r="O49" s="1">
        <f t="shared" ref="O49:T49" si="67">AH31</f>
        <v>0</v>
      </c>
      <c r="P49" s="1">
        <f t="shared" si="67"/>
        <v>0</v>
      </c>
      <c r="Q49" s="1">
        <f t="shared" si="67"/>
        <v>0</v>
      </c>
      <c r="R49" s="1">
        <f t="shared" si="67"/>
        <v>0</v>
      </c>
      <c r="S49" s="1">
        <f t="shared" si="67"/>
        <v>0</v>
      </c>
      <c r="T49" s="1">
        <f t="shared" si="67"/>
        <v>0</v>
      </c>
      <c r="U49" s="10">
        <f>SUM(N49:T49)</f>
        <v>0</v>
      </c>
      <c r="Y49" s="6">
        <f>F49</f>
        <v>2</v>
      </c>
      <c r="Z49" s="6">
        <f t="shared" ref="Z49:AE49" si="68">G49</f>
        <v>2</v>
      </c>
      <c r="AA49" s="6">
        <f t="shared" si="68"/>
        <v>0</v>
      </c>
      <c r="AB49" s="6">
        <f t="shared" si="68"/>
        <v>0</v>
      </c>
      <c r="AC49" s="6">
        <f t="shared" si="68"/>
        <v>0</v>
      </c>
      <c r="AD49" s="6">
        <f t="shared" si="68"/>
        <v>0</v>
      </c>
      <c r="AE49" s="6">
        <f t="shared" si="68"/>
        <v>2</v>
      </c>
      <c r="AF49" s="8"/>
      <c r="AG49" s="1">
        <f>N49</f>
        <v>0</v>
      </c>
      <c r="AH49" s="1">
        <f t="shared" ref="AH49:AM49" si="69">O49</f>
        <v>0</v>
      </c>
      <c r="AI49" s="1">
        <f t="shared" si="69"/>
        <v>0</v>
      </c>
      <c r="AJ49" s="1">
        <f t="shared" si="69"/>
        <v>0</v>
      </c>
      <c r="AK49" s="1">
        <f t="shared" si="69"/>
        <v>0</v>
      </c>
      <c r="AL49" s="1">
        <f t="shared" si="69"/>
        <v>0</v>
      </c>
      <c r="AM49" s="1">
        <f t="shared" si="69"/>
        <v>0</v>
      </c>
      <c r="AN49" s="10">
        <f>SUM(AG49:AM49)</f>
        <v>0</v>
      </c>
    </row>
    <row r="50" spans="1:43" x14ac:dyDescent="0.25">
      <c r="A50" t="s">
        <v>21</v>
      </c>
      <c r="B50" s="4"/>
      <c r="C50" s="11"/>
      <c r="D50" s="11"/>
      <c r="E50" s="11"/>
      <c r="F50" s="6">
        <f t="shared" ref="F50:F64" si="70">Y32</f>
        <v>0</v>
      </c>
      <c r="G50" s="6">
        <f t="shared" ref="G50:G64" si="71">Z32</f>
        <v>2</v>
      </c>
      <c r="H50" s="6">
        <f t="shared" ref="H50:H64" si="72">AA32</f>
        <v>2</v>
      </c>
      <c r="I50" s="6">
        <f t="shared" ref="I50:I64" si="73">AB32</f>
        <v>2</v>
      </c>
      <c r="J50" s="6">
        <f t="shared" ref="J50:J64" si="74">AC32</f>
        <v>2</v>
      </c>
      <c r="K50" s="6">
        <f t="shared" ref="K50:K64" si="75">AD32</f>
        <v>2</v>
      </c>
      <c r="L50" s="6">
        <f t="shared" ref="L50:N64" si="76">AE32</f>
        <v>2</v>
      </c>
      <c r="M50" s="8"/>
      <c r="N50" s="1">
        <f t="shared" si="76"/>
        <v>0</v>
      </c>
      <c r="O50" s="1">
        <f t="shared" ref="O50:O64" si="77">AH32</f>
        <v>0</v>
      </c>
      <c r="P50" s="1">
        <f t="shared" ref="P50:P64" si="78">AI32</f>
        <v>0</v>
      </c>
      <c r="Q50" s="1">
        <f t="shared" ref="Q50:Q64" si="79">AJ32</f>
        <v>0</v>
      </c>
      <c r="R50" s="1">
        <f t="shared" ref="R50:R64" si="80">AK32</f>
        <v>0</v>
      </c>
      <c r="S50" s="1">
        <f t="shared" ref="S50:S64" si="81">AL32</f>
        <v>0</v>
      </c>
      <c r="T50" s="1">
        <f t="shared" ref="T50:T64" si="82">AM32</f>
        <v>0</v>
      </c>
      <c r="U50" s="10">
        <f t="shared" ref="U50" si="83">SUM(N50:T50)</f>
        <v>0</v>
      </c>
      <c r="Y50" s="6">
        <f t="shared" ref="Y50:Y64" si="84">F50</f>
        <v>0</v>
      </c>
      <c r="Z50" s="6">
        <f t="shared" ref="Z50:Z64" si="85">G50</f>
        <v>2</v>
      </c>
      <c r="AA50" s="6">
        <f t="shared" ref="AA50:AA64" si="86">H50</f>
        <v>2</v>
      </c>
      <c r="AB50" s="6">
        <f t="shared" ref="AB50:AB64" si="87">I50</f>
        <v>2</v>
      </c>
      <c r="AC50" s="6">
        <f t="shared" ref="AC50:AC64" si="88">J50</f>
        <v>2</v>
      </c>
      <c r="AD50" s="6">
        <f t="shared" ref="AD50:AD64" si="89">K50</f>
        <v>2</v>
      </c>
      <c r="AE50" s="6">
        <f t="shared" ref="AE50:AE64" si="90">L50</f>
        <v>2</v>
      </c>
      <c r="AF50" s="8"/>
      <c r="AG50" s="1">
        <f t="shared" ref="AG50:AG64" si="91">N50</f>
        <v>0</v>
      </c>
      <c r="AH50" s="1">
        <f t="shared" ref="AH50:AH64" si="92">O50</f>
        <v>0</v>
      </c>
      <c r="AI50" s="1">
        <f t="shared" ref="AI50:AI64" si="93">P50</f>
        <v>0</v>
      </c>
      <c r="AJ50" s="1">
        <f t="shared" ref="AJ50:AJ64" si="94">Q50</f>
        <v>0</v>
      </c>
      <c r="AK50" s="1">
        <f t="shared" ref="AK50:AK64" si="95">R50</f>
        <v>0</v>
      </c>
      <c r="AL50" s="1">
        <f t="shared" ref="AL50:AL64" si="96">S50</f>
        <v>0</v>
      </c>
      <c r="AM50" s="1">
        <f t="shared" ref="AM50:AM64" si="97">T50</f>
        <v>0</v>
      </c>
      <c r="AN50" s="10">
        <f t="shared" ref="AN50" si="98">SUM(AG50:AM50)</f>
        <v>0</v>
      </c>
    </row>
    <row r="51" spans="1:43" x14ac:dyDescent="0.25">
      <c r="A51" t="s">
        <v>23</v>
      </c>
      <c r="B51" s="4"/>
      <c r="C51" s="11"/>
      <c r="D51" s="11"/>
      <c r="E51" s="11"/>
      <c r="F51" s="6">
        <f t="shared" si="70"/>
        <v>0</v>
      </c>
      <c r="G51" s="6">
        <f t="shared" si="71"/>
        <v>2</v>
      </c>
      <c r="H51" s="6">
        <f t="shared" si="72"/>
        <v>2</v>
      </c>
      <c r="I51" s="6">
        <f t="shared" si="73"/>
        <v>2</v>
      </c>
      <c r="J51" s="6">
        <f t="shared" si="74"/>
        <v>2</v>
      </c>
      <c r="K51" s="6">
        <f t="shared" si="75"/>
        <v>2</v>
      </c>
      <c r="L51" s="6">
        <f t="shared" si="76"/>
        <v>2</v>
      </c>
      <c r="M51" s="8"/>
      <c r="N51" s="1">
        <f t="shared" ref="M51:N51" si="99">AG33</f>
        <v>0</v>
      </c>
      <c r="O51" s="1">
        <f t="shared" si="77"/>
        <v>0</v>
      </c>
      <c r="P51" s="1">
        <f t="shared" si="78"/>
        <v>0</v>
      </c>
      <c r="Q51" s="1">
        <f t="shared" si="79"/>
        <v>0</v>
      </c>
      <c r="R51" s="1">
        <f t="shared" si="80"/>
        <v>0</v>
      </c>
      <c r="S51" s="1">
        <f t="shared" si="81"/>
        <v>0</v>
      </c>
      <c r="T51" s="1">
        <f t="shared" si="82"/>
        <v>0</v>
      </c>
      <c r="U51" s="10">
        <f>SUM(N51:T51)</f>
        <v>0</v>
      </c>
      <c r="Y51" s="6">
        <f t="shared" si="84"/>
        <v>0</v>
      </c>
      <c r="Z51" s="6">
        <f t="shared" si="85"/>
        <v>2</v>
      </c>
      <c r="AA51" s="6">
        <f t="shared" si="86"/>
        <v>2</v>
      </c>
      <c r="AB51" s="6">
        <f t="shared" si="87"/>
        <v>2</v>
      </c>
      <c r="AC51" s="6">
        <f t="shared" si="88"/>
        <v>2</v>
      </c>
      <c r="AD51" s="6">
        <f t="shared" si="89"/>
        <v>2</v>
      </c>
      <c r="AE51" s="6">
        <f t="shared" si="90"/>
        <v>2</v>
      </c>
      <c r="AF51" s="8"/>
      <c r="AG51" s="1">
        <f t="shared" si="91"/>
        <v>0</v>
      </c>
      <c r="AH51" s="1">
        <f t="shared" si="92"/>
        <v>0</v>
      </c>
      <c r="AI51" s="1">
        <f t="shared" si="93"/>
        <v>0</v>
      </c>
      <c r="AJ51" s="1">
        <f t="shared" si="94"/>
        <v>0</v>
      </c>
      <c r="AK51" s="1">
        <f t="shared" si="95"/>
        <v>0</v>
      </c>
      <c r="AL51" s="1">
        <f t="shared" si="96"/>
        <v>0</v>
      </c>
      <c r="AM51" s="1">
        <f t="shared" si="97"/>
        <v>0</v>
      </c>
      <c r="AN51" s="10">
        <f>SUM(AG51:AM51)</f>
        <v>0</v>
      </c>
    </row>
    <row r="52" spans="1:43" x14ac:dyDescent="0.25">
      <c r="A52" t="s">
        <v>24</v>
      </c>
      <c r="B52" s="4"/>
      <c r="C52" s="11"/>
      <c r="D52" s="11"/>
      <c r="E52" s="11"/>
      <c r="F52" s="6">
        <f t="shared" si="70"/>
        <v>0</v>
      </c>
      <c r="G52" s="6">
        <f t="shared" si="71"/>
        <v>2</v>
      </c>
      <c r="H52" s="6">
        <f t="shared" si="72"/>
        <v>2</v>
      </c>
      <c r="I52" s="6">
        <f t="shared" si="73"/>
        <v>2</v>
      </c>
      <c r="J52" s="6">
        <f t="shared" si="74"/>
        <v>2</v>
      </c>
      <c r="K52" s="6">
        <f t="shared" si="75"/>
        <v>2</v>
      </c>
      <c r="L52" s="6">
        <f t="shared" si="76"/>
        <v>2</v>
      </c>
      <c r="M52" s="8"/>
      <c r="N52" s="1">
        <f t="shared" ref="M52:N52" si="100">AG34</f>
        <v>0</v>
      </c>
      <c r="O52" s="1">
        <f t="shared" si="77"/>
        <v>0</v>
      </c>
      <c r="P52" s="1">
        <f t="shared" si="78"/>
        <v>0</v>
      </c>
      <c r="Q52" s="1">
        <f t="shared" si="79"/>
        <v>0</v>
      </c>
      <c r="R52" s="1">
        <f t="shared" si="80"/>
        <v>0</v>
      </c>
      <c r="S52" s="1">
        <f t="shared" si="81"/>
        <v>0</v>
      </c>
      <c r="T52" s="1">
        <f t="shared" si="82"/>
        <v>0</v>
      </c>
      <c r="U52" s="10">
        <f>SUM(N52:T52)</f>
        <v>0</v>
      </c>
      <c r="Y52" s="6">
        <f t="shared" si="84"/>
        <v>0</v>
      </c>
      <c r="Z52" s="6">
        <f t="shared" si="85"/>
        <v>2</v>
      </c>
      <c r="AA52" s="6">
        <f t="shared" si="86"/>
        <v>2</v>
      </c>
      <c r="AB52" s="6">
        <f t="shared" si="87"/>
        <v>2</v>
      </c>
      <c r="AC52" s="6">
        <f t="shared" si="88"/>
        <v>2</v>
      </c>
      <c r="AD52" s="6">
        <f t="shared" si="89"/>
        <v>2</v>
      </c>
      <c r="AE52" s="6">
        <f t="shared" si="90"/>
        <v>2</v>
      </c>
      <c r="AF52" s="8"/>
      <c r="AG52" s="1">
        <f t="shared" si="91"/>
        <v>0</v>
      </c>
      <c r="AH52" s="1">
        <f t="shared" si="92"/>
        <v>0</v>
      </c>
      <c r="AI52" s="1">
        <f t="shared" si="93"/>
        <v>0</v>
      </c>
      <c r="AJ52" s="1">
        <f t="shared" si="94"/>
        <v>0</v>
      </c>
      <c r="AK52" s="1">
        <f t="shared" si="95"/>
        <v>0</v>
      </c>
      <c r="AL52" s="1">
        <f t="shared" si="96"/>
        <v>0</v>
      </c>
      <c r="AM52" s="1">
        <f t="shared" si="97"/>
        <v>0</v>
      </c>
      <c r="AN52" s="10">
        <f>SUM(AG52:AM52)</f>
        <v>0</v>
      </c>
    </row>
    <row r="53" spans="1:43" x14ac:dyDescent="0.25">
      <c r="A53" t="s">
        <v>25</v>
      </c>
      <c r="B53" s="4" t="s">
        <v>140</v>
      </c>
      <c r="C53" s="11" t="s">
        <v>74</v>
      </c>
      <c r="D53" s="11">
        <v>21</v>
      </c>
      <c r="E53" s="11">
        <v>70</v>
      </c>
      <c r="F53" s="6">
        <f t="shared" si="70"/>
        <v>0</v>
      </c>
      <c r="G53" s="6">
        <v>9</v>
      </c>
      <c r="H53" s="6">
        <v>10</v>
      </c>
      <c r="I53" s="6">
        <f t="shared" si="73"/>
        <v>2</v>
      </c>
      <c r="J53" s="6">
        <f t="shared" si="74"/>
        <v>2</v>
      </c>
      <c r="K53" s="6">
        <v>10</v>
      </c>
      <c r="L53" s="6">
        <f t="shared" si="76"/>
        <v>2</v>
      </c>
      <c r="M53" s="8">
        <f>(2910+1315+1165)*1.008</f>
        <v>5433.12</v>
      </c>
      <c r="N53" s="1">
        <f t="shared" ref="M53:N53" si="101">AG35</f>
        <v>0</v>
      </c>
      <c r="O53" s="1">
        <v>30</v>
      </c>
      <c r="P53" s="1">
        <v>33</v>
      </c>
      <c r="Q53" s="1">
        <f t="shared" si="79"/>
        <v>0</v>
      </c>
      <c r="R53" s="1">
        <f t="shared" si="80"/>
        <v>0</v>
      </c>
      <c r="S53" s="1">
        <v>33</v>
      </c>
      <c r="T53" s="1">
        <f t="shared" si="82"/>
        <v>0</v>
      </c>
      <c r="U53" s="10">
        <f t="shared" ref="U53:U60" si="102">SUM(N53:T53)</f>
        <v>96</v>
      </c>
      <c r="W53">
        <f>D53+2</f>
        <v>23</v>
      </c>
      <c r="X53">
        <f>E53+$AQ$56-112</f>
        <v>28</v>
      </c>
      <c r="Y53" s="6">
        <f t="shared" si="84"/>
        <v>0</v>
      </c>
      <c r="Z53" s="6">
        <v>12</v>
      </c>
      <c r="AA53" s="6">
        <f t="shared" si="86"/>
        <v>10</v>
      </c>
      <c r="AB53" s="6">
        <f t="shared" si="87"/>
        <v>2</v>
      </c>
      <c r="AC53" s="6">
        <f t="shared" si="88"/>
        <v>2</v>
      </c>
      <c r="AD53" s="6">
        <f t="shared" si="89"/>
        <v>10</v>
      </c>
      <c r="AE53" s="6">
        <f t="shared" si="90"/>
        <v>2</v>
      </c>
      <c r="AF53" s="8">
        <f>(7010+1455+1315)*1.008</f>
        <v>9858.24</v>
      </c>
      <c r="AG53" s="1">
        <f t="shared" si="91"/>
        <v>0</v>
      </c>
      <c r="AH53" s="1">
        <f>O53+$AQ$54</f>
        <v>56</v>
      </c>
      <c r="AI53" s="1">
        <f t="shared" si="93"/>
        <v>33</v>
      </c>
      <c r="AJ53" s="1">
        <f t="shared" si="94"/>
        <v>0</v>
      </c>
      <c r="AK53" s="1">
        <f t="shared" si="95"/>
        <v>0</v>
      </c>
      <c r="AL53" s="1">
        <f t="shared" si="96"/>
        <v>33</v>
      </c>
      <c r="AM53" s="1">
        <f t="shared" si="97"/>
        <v>0</v>
      </c>
      <c r="AN53" s="10">
        <f t="shared" ref="AN53:AN60" si="103">SUM(AG53:AM53)</f>
        <v>122</v>
      </c>
    </row>
    <row r="54" spans="1:43" x14ac:dyDescent="0.25">
      <c r="A54" t="s">
        <v>26</v>
      </c>
      <c r="B54" s="4" t="s">
        <v>140</v>
      </c>
      <c r="C54" s="11" t="s">
        <v>74</v>
      </c>
      <c r="D54" s="11">
        <v>21</v>
      </c>
      <c r="E54" s="11">
        <v>70</v>
      </c>
      <c r="F54" s="6">
        <f t="shared" si="70"/>
        <v>0</v>
      </c>
      <c r="G54" s="6">
        <v>9</v>
      </c>
      <c r="H54" s="6">
        <v>10</v>
      </c>
      <c r="I54" s="6">
        <f t="shared" si="73"/>
        <v>2</v>
      </c>
      <c r="J54" s="6">
        <f t="shared" si="74"/>
        <v>2</v>
      </c>
      <c r="K54" s="6">
        <v>10</v>
      </c>
      <c r="L54" s="6">
        <f t="shared" si="76"/>
        <v>2</v>
      </c>
      <c r="M54" s="8">
        <f t="shared" ref="M54:M56" si="104">(2910+1315+1165)*1.008</f>
        <v>5433.12</v>
      </c>
      <c r="N54" s="1">
        <f t="shared" ref="M54:N54" si="105">AG36</f>
        <v>0</v>
      </c>
      <c r="O54" s="1">
        <v>30</v>
      </c>
      <c r="P54" s="1">
        <v>33</v>
      </c>
      <c r="Q54" s="1">
        <f t="shared" si="79"/>
        <v>0</v>
      </c>
      <c r="R54" s="1">
        <f t="shared" si="80"/>
        <v>0</v>
      </c>
      <c r="S54" s="1">
        <v>33</v>
      </c>
      <c r="T54" s="1">
        <f t="shared" si="82"/>
        <v>0</v>
      </c>
      <c r="U54" s="10">
        <f t="shared" si="102"/>
        <v>96</v>
      </c>
      <c r="W54">
        <f t="shared" ref="W54:W59" si="106">D54+2</f>
        <v>23</v>
      </c>
      <c r="X54">
        <f t="shared" ref="X54:X59" si="107">E54+$AQ$56-112</f>
        <v>28</v>
      </c>
      <c r="Y54" s="6">
        <f t="shared" si="84"/>
        <v>0</v>
      </c>
      <c r="Z54" s="6">
        <v>12</v>
      </c>
      <c r="AA54" s="6">
        <f t="shared" si="86"/>
        <v>10</v>
      </c>
      <c r="AB54" s="6">
        <f t="shared" si="87"/>
        <v>2</v>
      </c>
      <c r="AC54" s="6">
        <f t="shared" si="88"/>
        <v>2</v>
      </c>
      <c r="AD54" s="6">
        <f t="shared" si="89"/>
        <v>10</v>
      </c>
      <c r="AE54" s="6">
        <f t="shared" si="90"/>
        <v>2</v>
      </c>
      <c r="AF54" s="8">
        <f t="shared" ref="AF54:AF56" si="108">(7010+1455+1315)*1.008</f>
        <v>9858.24</v>
      </c>
      <c r="AG54" s="1">
        <f t="shared" si="91"/>
        <v>0</v>
      </c>
      <c r="AH54" s="1">
        <f t="shared" ref="AH54:AH62" si="109">O54+$AQ$54</f>
        <v>56</v>
      </c>
      <c r="AI54" s="1">
        <f t="shared" si="93"/>
        <v>33</v>
      </c>
      <c r="AJ54" s="1">
        <f t="shared" si="94"/>
        <v>0</v>
      </c>
      <c r="AK54" s="1">
        <f t="shared" si="95"/>
        <v>0</v>
      </c>
      <c r="AL54" s="1">
        <f t="shared" si="96"/>
        <v>33</v>
      </c>
      <c r="AM54" s="1">
        <f t="shared" si="97"/>
        <v>0</v>
      </c>
      <c r="AN54" s="10">
        <f t="shared" si="103"/>
        <v>122</v>
      </c>
      <c r="AP54" t="s">
        <v>40</v>
      </c>
      <c r="AQ54">
        <v>26</v>
      </c>
    </row>
    <row r="55" spans="1:43" x14ac:dyDescent="0.25">
      <c r="A55" t="s">
        <v>27</v>
      </c>
      <c r="B55" s="4" t="s">
        <v>140</v>
      </c>
      <c r="C55" s="11" t="s">
        <v>42</v>
      </c>
      <c r="D55" s="11">
        <v>21</v>
      </c>
      <c r="E55" s="11">
        <v>70</v>
      </c>
      <c r="F55" s="6">
        <f t="shared" si="70"/>
        <v>0</v>
      </c>
      <c r="G55" s="6">
        <v>9</v>
      </c>
      <c r="H55" s="6">
        <v>10</v>
      </c>
      <c r="I55" s="6">
        <f t="shared" si="73"/>
        <v>2</v>
      </c>
      <c r="J55" s="6">
        <f t="shared" si="74"/>
        <v>2</v>
      </c>
      <c r="K55" s="6">
        <v>10</v>
      </c>
      <c r="L55" s="6">
        <f t="shared" si="76"/>
        <v>2</v>
      </c>
      <c r="M55" s="8">
        <f t="shared" si="104"/>
        <v>5433.12</v>
      </c>
      <c r="N55" s="1">
        <f t="shared" ref="M55:N55" si="110">AG37</f>
        <v>0</v>
      </c>
      <c r="O55" s="1">
        <v>30</v>
      </c>
      <c r="P55" s="1">
        <v>33</v>
      </c>
      <c r="Q55" s="1">
        <f t="shared" si="79"/>
        <v>0</v>
      </c>
      <c r="R55" s="1">
        <f t="shared" si="80"/>
        <v>0</v>
      </c>
      <c r="S55" s="1">
        <v>33</v>
      </c>
      <c r="T55" s="1">
        <f t="shared" si="82"/>
        <v>0</v>
      </c>
      <c r="U55" s="10">
        <f t="shared" si="102"/>
        <v>96</v>
      </c>
      <c r="W55">
        <f t="shared" si="106"/>
        <v>23</v>
      </c>
      <c r="X55">
        <f t="shared" si="107"/>
        <v>28</v>
      </c>
      <c r="Y55" s="6">
        <f t="shared" si="84"/>
        <v>0</v>
      </c>
      <c r="Z55" s="6">
        <v>12</v>
      </c>
      <c r="AA55" s="6">
        <f t="shared" si="86"/>
        <v>10</v>
      </c>
      <c r="AB55" s="6">
        <f t="shared" si="87"/>
        <v>2</v>
      </c>
      <c r="AC55" s="6">
        <f t="shared" si="88"/>
        <v>2</v>
      </c>
      <c r="AD55" s="6">
        <f t="shared" si="89"/>
        <v>10</v>
      </c>
      <c r="AE55" s="6">
        <f t="shared" si="90"/>
        <v>2</v>
      </c>
      <c r="AF55" s="8">
        <f t="shared" si="108"/>
        <v>9858.24</v>
      </c>
      <c r="AG55" s="1">
        <f t="shared" si="91"/>
        <v>0</v>
      </c>
      <c r="AH55" s="1">
        <f t="shared" si="109"/>
        <v>56</v>
      </c>
      <c r="AI55" s="1">
        <f t="shared" si="93"/>
        <v>33</v>
      </c>
      <c r="AJ55" s="1">
        <f t="shared" si="94"/>
        <v>0</v>
      </c>
      <c r="AK55" s="1">
        <f t="shared" si="95"/>
        <v>0</v>
      </c>
      <c r="AL55" s="1">
        <f t="shared" si="96"/>
        <v>33</v>
      </c>
      <c r="AM55" s="1">
        <f t="shared" si="97"/>
        <v>0</v>
      </c>
      <c r="AN55" s="10">
        <f t="shared" si="103"/>
        <v>122</v>
      </c>
      <c r="AQ55">
        <f>AQ54*7</f>
        <v>182</v>
      </c>
    </row>
    <row r="56" spans="1:43" x14ac:dyDescent="0.25">
      <c r="A56" t="s">
        <v>28</v>
      </c>
      <c r="B56" s="4" t="s">
        <v>140</v>
      </c>
      <c r="C56" s="11" t="s">
        <v>42</v>
      </c>
      <c r="D56" s="11">
        <v>21</v>
      </c>
      <c r="E56" s="11">
        <v>70</v>
      </c>
      <c r="F56" s="6">
        <f t="shared" si="70"/>
        <v>0</v>
      </c>
      <c r="G56" s="6">
        <v>9</v>
      </c>
      <c r="H56" s="6">
        <v>10</v>
      </c>
      <c r="I56" s="6">
        <f t="shared" si="73"/>
        <v>2</v>
      </c>
      <c r="J56" s="6">
        <f t="shared" si="74"/>
        <v>2</v>
      </c>
      <c r="K56" s="6">
        <v>10</v>
      </c>
      <c r="L56" s="6">
        <f t="shared" si="76"/>
        <v>2</v>
      </c>
      <c r="M56" s="8">
        <f t="shared" si="104"/>
        <v>5433.12</v>
      </c>
      <c r="N56" s="1">
        <f t="shared" ref="M56:N56" si="111">AG38</f>
        <v>0</v>
      </c>
      <c r="O56" s="1">
        <v>30</v>
      </c>
      <c r="P56" s="1">
        <v>33</v>
      </c>
      <c r="Q56" s="1">
        <f t="shared" si="79"/>
        <v>0</v>
      </c>
      <c r="R56" s="1">
        <f t="shared" si="80"/>
        <v>0</v>
      </c>
      <c r="S56" s="1">
        <v>33</v>
      </c>
      <c r="T56" s="1">
        <f t="shared" si="82"/>
        <v>0</v>
      </c>
      <c r="U56" s="10">
        <f t="shared" si="102"/>
        <v>96</v>
      </c>
      <c r="W56">
        <f t="shared" si="106"/>
        <v>23</v>
      </c>
      <c r="X56">
        <f t="shared" si="107"/>
        <v>28</v>
      </c>
      <c r="Y56" s="6">
        <f t="shared" si="84"/>
        <v>0</v>
      </c>
      <c r="Z56" s="6">
        <v>12</v>
      </c>
      <c r="AA56" s="6">
        <f t="shared" si="86"/>
        <v>10</v>
      </c>
      <c r="AB56" s="6">
        <f t="shared" si="87"/>
        <v>2</v>
      </c>
      <c r="AC56" s="6">
        <f t="shared" si="88"/>
        <v>2</v>
      </c>
      <c r="AD56" s="6">
        <f t="shared" si="89"/>
        <v>10</v>
      </c>
      <c r="AE56" s="6">
        <f t="shared" si="90"/>
        <v>2</v>
      </c>
      <c r="AF56" s="8">
        <f t="shared" si="108"/>
        <v>9858.24</v>
      </c>
      <c r="AG56" s="1">
        <f t="shared" si="91"/>
        <v>0</v>
      </c>
      <c r="AH56" s="1">
        <f t="shared" si="109"/>
        <v>56</v>
      </c>
      <c r="AI56" s="1">
        <f t="shared" si="93"/>
        <v>33</v>
      </c>
      <c r="AJ56" s="1">
        <f t="shared" si="94"/>
        <v>0</v>
      </c>
      <c r="AK56" s="1">
        <f t="shared" si="95"/>
        <v>0</v>
      </c>
      <c r="AL56" s="1">
        <f t="shared" si="96"/>
        <v>33</v>
      </c>
      <c r="AM56" s="1">
        <f t="shared" si="97"/>
        <v>0</v>
      </c>
      <c r="AN56" s="10">
        <f t="shared" si="103"/>
        <v>122</v>
      </c>
      <c r="AQ56">
        <f>AQ55-112</f>
        <v>70</v>
      </c>
    </row>
    <row r="57" spans="1:43" x14ac:dyDescent="0.25">
      <c r="A57" t="s">
        <v>29</v>
      </c>
      <c r="B57" s="4" t="str">
        <f>B39</f>
        <v>Inner</v>
      </c>
      <c r="C57" s="11" t="str">
        <f>C39</f>
        <v>CAB</v>
      </c>
      <c r="D57" s="11">
        <f>W39</f>
        <v>21</v>
      </c>
      <c r="E57" s="11">
        <f>X39</f>
        <v>80</v>
      </c>
      <c r="F57" s="6">
        <f t="shared" si="70"/>
        <v>0</v>
      </c>
      <c r="G57" s="6">
        <f t="shared" si="71"/>
        <v>7</v>
      </c>
      <c r="H57" s="6">
        <f t="shared" si="72"/>
        <v>12</v>
      </c>
      <c r="I57" s="6">
        <f t="shared" si="73"/>
        <v>2</v>
      </c>
      <c r="J57" s="6">
        <f t="shared" si="74"/>
        <v>2</v>
      </c>
      <c r="K57" s="6">
        <f t="shared" si="75"/>
        <v>10</v>
      </c>
      <c r="L57" s="6">
        <f t="shared" si="76"/>
        <v>2</v>
      </c>
      <c r="M57" s="8">
        <f t="shared" ref="M57:N57" si="112">AF39</f>
        <v>10291.68</v>
      </c>
      <c r="N57" s="1">
        <f t="shared" si="112"/>
        <v>0</v>
      </c>
      <c r="O57" s="1">
        <f t="shared" si="77"/>
        <v>18</v>
      </c>
      <c r="P57" s="1">
        <f t="shared" si="78"/>
        <v>48</v>
      </c>
      <c r="Q57" s="1">
        <f t="shared" si="79"/>
        <v>0</v>
      </c>
      <c r="R57" s="1">
        <f t="shared" si="80"/>
        <v>0</v>
      </c>
      <c r="S57" s="1">
        <f t="shared" si="81"/>
        <v>33</v>
      </c>
      <c r="T57" s="1">
        <f t="shared" si="82"/>
        <v>0</v>
      </c>
      <c r="U57" s="10">
        <f t="shared" si="102"/>
        <v>99</v>
      </c>
      <c r="W57">
        <f t="shared" si="106"/>
        <v>23</v>
      </c>
      <c r="X57">
        <f t="shared" si="107"/>
        <v>38</v>
      </c>
      <c r="Y57" s="6">
        <f t="shared" si="84"/>
        <v>0</v>
      </c>
      <c r="Z57" s="6">
        <f>10+7/9</f>
        <v>10.777777777777779</v>
      </c>
      <c r="AA57" s="6">
        <f t="shared" si="86"/>
        <v>12</v>
      </c>
      <c r="AB57" s="6">
        <f t="shared" si="87"/>
        <v>2</v>
      </c>
      <c r="AC57" s="6">
        <f t="shared" si="88"/>
        <v>2</v>
      </c>
      <c r="AD57" s="6">
        <f t="shared" si="89"/>
        <v>10</v>
      </c>
      <c r="AE57" s="6">
        <f t="shared" si="90"/>
        <v>2</v>
      </c>
      <c r="AF57" s="8">
        <f>(8670+1900+1315)*1.008</f>
        <v>11980.08</v>
      </c>
      <c r="AG57" s="1">
        <f t="shared" si="91"/>
        <v>0</v>
      </c>
      <c r="AH57" s="1">
        <f t="shared" si="109"/>
        <v>44</v>
      </c>
      <c r="AI57" s="1">
        <f t="shared" si="93"/>
        <v>48</v>
      </c>
      <c r="AJ57" s="1">
        <f t="shared" si="94"/>
        <v>0</v>
      </c>
      <c r="AK57" s="1">
        <f t="shared" si="95"/>
        <v>0</v>
      </c>
      <c r="AL57" s="1">
        <f t="shared" si="96"/>
        <v>33</v>
      </c>
      <c r="AM57" s="1">
        <f t="shared" si="97"/>
        <v>0</v>
      </c>
      <c r="AN57" s="10">
        <f t="shared" si="103"/>
        <v>125</v>
      </c>
    </row>
    <row r="58" spans="1:43" x14ac:dyDescent="0.25">
      <c r="A58" t="s">
        <v>72</v>
      </c>
      <c r="B58" s="4" t="str">
        <f t="shared" ref="B58:C62" si="113">B40</f>
        <v>Inner</v>
      </c>
      <c r="C58" s="11" t="str">
        <f t="shared" si="113"/>
        <v>CAB</v>
      </c>
      <c r="D58" s="11">
        <f t="shared" ref="D58:E58" si="114">W40</f>
        <v>21</v>
      </c>
      <c r="E58" s="11">
        <f t="shared" si="114"/>
        <v>80</v>
      </c>
      <c r="F58" s="6">
        <f t="shared" si="70"/>
        <v>0</v>
      </c>
      <c r="G58" s="6">
        <f t="shared" si="71"/>
        <v>7</v>
      </c>
      <c r="H58" s="6">
        <f t="shared" si="72"/>
        <v>12</v>
      </c>
      <c r="I58" s="6">
        <f t="shared" si="73"/>
        <v>2</v>
      </c>
      <c r="J58" s="6">
        <f t="shared" si="74"/>
        <v>2</v>
      </c>
      <c r="K58" s="6">
        <f t="shared" si="75"/>
        <v>10</v>
      </c>
      <c r="L58" s="6">
        <f t="shared" si="76"/>
        <v>2</v>
      </c>
      <c r="M58" s="8">
        <f t="shared" ref="M58:N58" si="115">AF40</f>
        <v>10291.68</v>
      </c>
      <c r="N58" s="1">
        <f t="shared" si="115"/>
        <v>0</v>
      </c>
      <c r="O58" s="1">
        <f t="shared" si="77"/>
        <v>18</v>
      </c>
      <c r="P58" s="1">
        <f t="shared" si="78"/>
        <v>48</v>
      </c>
      <c r="Q58" s="1">
        <f t="shared" si="79"/>
        <v>0</v>
      </c>
      <c r="R58" s="1">
        <f t="shared" si="80"/>
        <v>0</v>
      </c>
      <c r="S58" s="1">
        <f t="shared" si="81"/>
        <v>33</v>
      </c>
      <c r="T58" s="1">
        <f t="shared" si="82"/>
        <v>0</v>
      </c>
      <c r="U58" s="10">
        <f t="shared" si="102"/>
        <v>99</v>
      </c>
      <c r="W58">
        <f t="shared" si="106"/>
        <v>23</v>
      </c>
      <c r="X58">
        <f t="shared" si="107"/>
        <v>38</v>
      </c>
      <c r="Y58" s="6">
        <f t="shared" si="84"/>
        <v>0</v>
      </c>
      <c r="Z58" s="6">
        <f t="shared" ref="Z58:Z59" si="116">10+7/9</f>
        <v>10.777777777777779</v>
      </c>
      <c r="AA58" s="6">
        <f t="shared" si="86"/>
        <v>12</v>
      </c>
      <c r="AB58" s="6">
        <f t="shared" si="87"/>
        <v>2</v>
      </c>
      <c r="AC58" s="6">
        <f t="shared" si="88"/>
        <v>2</v>
      </c>
      <c r="AD58" s="6">
        <f t="shared" si="89"/>
        <v>10</v>
      </c>
      <c r="AE58" s="6">
        <f t="shared" si="90"/>
        <v>2</v>
      </c>
      <c r="AF58" s="8">
        <f t="shared" ref="AF58:AF59" si="117">(8670+1900+1315)*1.008</f>
        <v>11980.08</v>
      </c>
      <c r="AG58" s="1">
        <f t="shared" si="91"/>
        <v>0</v>
      </c>
      <c r="AH58" s="1">
        <f t="shared" si="109"/>
        <v>44</v>
      </c>
      <c r="AI58" s="1">
        <f t="shared" si="93"/>
        <v>48</v>
      </c>
      <c r="AJ58" s="1">
        <f t="shared" si="94"/>
        <v>0</v>
      </c>
      <c r="AK58" s="1">
        <f t="shared" si="95"/>
        <v>0</v>
      </c>
      <c r="AL58" s="1">
        <f t="shared" si="96"/>
        <v>33</v>
      </c>
      <c r="AM58" s="1">
        <f t="shared" si="97"/>
        <v>0</v>
      </c>
      <c r="AN58" s="10">
        <f t="shared" si="103"/>
        <v>125</v>
      </c>
    </row>
    <row r="59" spans="1:43" x14ac:dyDescent="0.25">
      <c r="A59" t="s">
        <v>31</v>
      </c>
      <c r="B59" s="4" t="str">
        <f t="shared" si="113"/>
        <v>Inner</v>
      </c>
      <c r="C59" s="11" t="str">
        <f t="shared" si="113"/>
        <v>CAB</v>
      </c>
      <c r="D59" s="11">
        <f t="shared" ref="D59:E59" si="118">W41</f>
        <v>21</v>
      </c>
      <c r="E59" s="11">
        <f t="shared" si="118"/>
        <v>80</v>
      </c>
      <c r="F59" s="6">
        <f t="shared" si="70"/>
        <v>0</v>
      </c>
      <c r="G59" s="6">
        <f t="shared" si="71"/>
        <v>7</v>
      </c>
      <c r="H59" s="6">
        <f t="shared" si="72"/>
        <v>12</v>
      </c>
      <c r="I59" s="6">
        <f t="shared" si="73"/>
        <v>2</v>
      </c>
      <c r="J59" s="6">
        <f t="shared" si="74"/>
        <v>2</v>
      </c>
      <c r="K59" s="6">
        <f t="shared" si="75"/>
        <v>10</v>
      </c>
      <c r="L59" s="6">
        <f t="shared" si="76"/>
        <v>2</v>
      </c>
      <c r="M59" s="8">
        <f t="shared" ref="M59:N59" si="119">AF41</f>
        <v>10291.68</v>
      </c>
      <c r="N59" s="1">
        <f t="shared" si="119"/>
        <v>0</v>
      </c>
      <c r="O59" s="1">
        <f t="shared" si="77"/>
        <v>18</v>
      </c>
      <c r="P59" s="1">
        <f t="shared" si="78"/>
        <v>48</v>
      </c>
      <c r="Q59" s="1">
        <f t="shared" si="79"/>
        <v>0</v>
      </c>
      <c r="R59" s="1">
        <f t="shared" si="80"/>
        <v>0</v>
      </c>
      <c r="S59" s="1">
        <f t="shared" si="81"/>
        <v>33</v>
      </c>
      <c r="T59" s="1">
        <f t="shared" si="82"/>
        <v>0</v>
      </c>
      <c r="U59" s="10">
        <f t="shared" si="102"/>
        <v>99</v>
      </c>
      <c r="W59">
        <f t="shared" si="106"/>
        <v>23</v>
      </c>
      <c r="X59">
        <f t="shared" si="107"/>
        <v>38</v>
      </c>
      <c r="Y59" s="6">
        <f t="shared" si="84"/>
        <v>0</v>
      </c>
      <c r="Z59" s="6">
        <f t="shared" si="116"/>
        <v>10.777777777777779</v>
      </c>
      <c r="AA59" s="6">
        <f t="shared" si="86"/>
        <v>12</v>
      </c>
      <c r="AB59" s="6">
        <f t="shared" si="87"/>
        <v>2</v>
      </c>
      <c r="AC59" s="6">
        <f t="shared" si="88"/>
        <v>2</v>
      </c>
      <c r="AD59" s="6">
        <f t="shared" si="89"/>
        <v>10</v>
      </c>
      <c r="AE59" s="6">
        <f t="shared" si="90"/>
        <v>2</v>
      </c>
      <c r="AF59" s="8">
        <f t="shared" si="117"/>
        <v>11980.08</v>
      </c>
      <c r="AG59" s="1">
        <f t="shared" si="91"/>
        <v>0</v>
      </c>
      <c r="AH59" s="1">
        <f t="shared" si="109"/>
        <v>44</v>
      </c>
      <c r="AI59" s="1">
        <f t="shared" si="93"/>
        <v>48</v>
      </c>
      <c r="AJ59" s="1">
        <f t="shared" si="94"/>
        <v>0</v>
      </c>
      <c r="AK59" s="1">
        <f t="shared" si="95"/>
        <v>0</v>
      </c>
      <c r="AL59" s="1">
        <f t="shared" si="96"/>
        <v>33</v>
      </c>
      <c r="AM59" s="1">
        <f t="shared" si="97"/>
        <v>0</v>
      </c>
      <c r="AN59" s="10">
        <f t="shared" si="103"/>
        <v>125</v>
      </c>
    </row>
    <row r="60" spans="1:43" x14ac:dyDescent="0.25">
      <c r="A60" t="s">
        <v>33</v>
      </c>
      <c r="B60" s="4" t="str">
        <f t="shared" si="113"/>
        <v>E. Cubas</v>
      </c>
      <c r="C60" s="11" t="str">
        <f t="shared" si="113"/>
        <v>RAP</v>
      </c>
      <c r="D60" s="11">
        <f t="shared" ref="D60:E60" si="120">W42</f>
        <v>21</v>
      </c>
      <c r="E60" s="11">
        <f t="shared" si="120"/>
        <v>95.5</v>
      </c>
      <c r="F60" s="6">
        <f t="shared" si="70"/>
        <v>0</v>
      </c>
      <c r="G60" s="6">
        <f t="shared" si="71"/>
        <v>2</v>
      </c>
      <c r="H60" s="6">
        <f t="shared" si="72"/>
        <v>9</v>
      </c>
      <c r="I60" s="6">
        <f t="shared" si="73"/>
        <v>9.5</v>
      </c>
      <c r="J60" s="6">
        <f t="shared" si="74"/>
        <v>8.6</v>
      </c>
      <c r="K60" s="6">
        <f t="shared" si="75"/>
        <v>10.285714285714286</v>
      </c>
      <c r="L60" s="6">
        <f t="shared" si="76"/>
        <v>2</v>
      </c>
      <c r="M60" s="8">
        <f t="shared" ref="M60:N60" si="121">AF42</f>
        <v>4460.3999999999996</v>
      </c>
      <c r="N60" s="1">
        <f t="shared" si="121"/>
        <v>0</v>
      </c>
      <c r="O60" s="1">
        <f t="shared" si="77"/>
        <v>0</v>
      </c>
      <c r="P60" s="1">
        <f t="shared" si="78"/>
        <v>26</v>
      </c>
      <c r="Q60" s="1">
        <f t="shared" si="79"/>
        <v>20.5</v>
      </c>
      <c r="R60" s="1">
        <f t="shared" si="80"/>
        <v>21</v>
      </c>
      <c r="S60" s="1">
        <f t="shared" si="81"/>
        <v>35</v>
      </c>
      <c r="T60" s="1">
        <f t="shared" si="82"/>
        <v>0</v>
      </c>
      <c r="U60" s="10">
        <f t="shared" si="102"/>
        <v>102.5</v>
      </c>
      <c r="W60">
        <f>D60+1+1</f>
        <v>23</v>
      </c>
      <c r="X60">
        <f>E60+$AQ$56-112</f>
        <v>53.5</v>
      </c>
      <c r="Y60" s="6">
        <f t="shared" si="84"/>
        <v>0</v>
      </c>
      <c r="Z60" s="6">
        <f>8+2/6</f>
        <v>8.3333333333333339</v>
      </c>
      <c r="AA60" s="6">
        <f t="shared" si="86"/>
        <v>9</v>
      </c>
      <c r="AB60" s="6">
        <f t="shared" si="87"/>
        <v>9.5</v>
      </c>
      <c r="AC60" s="6">
        <f t="shared" si="88"/>
        <v>8.6</v>
      </c>
      <c r="AD60" s="6">
        <f t="shared" si="89"/>
        <v>10.285714285714286</v>
      </c>
      <c r="AE60" s="6">
        <f t="shared" si="90"/>
        <v>2</v>
      </c>
      <c r="AF60" s="8">
        <f>(2900+140+620+785+515)*1.008</f>
        <v>4999.68</v>
      </c>
      <c r="AG60" s="1">
        <f t="shared" si="91"/>
        <v>0</v>
      </c>
      <c r="AH60" s="1">
        <f t="shared" si="109"/>
        <v>26</v>
      </c>
      <c r="AI60" s="1">
        <f t="shared" si="93"/>
        <v>26</v>
      </c>
      <c r="AJ60" s="1">
        <f t="shared" si="94"/>
        <v>20.5</v>
      </c>
      <c r="AK60" s="1">
        <f t="shared" si="95"/>
        <v>21</v>
      </c>
      <c r="AL60" s="1">
        <f t="shared" si="96"/>
        <v>35</v>
      </c>
      <c r="AM60" s="1">
        <f t="shared" si="97"/>
        <v>0</v>
      </c>
      <c r="AN60" s="10">
        <f t="shared" si="103"/>
        <v>128.5</v>
      </c>
    </row>
    <row r="61" spans="1:43" x14ac:dyDescent="0.25">
      <c r="A61" t="s">
        <v>34</v>
      </c>
      <c r="B61" s="4" t="str">
        <f t="shared" si="113"/>
        <v>V. Gomis</v>
      </c>
      <c r="C61" s="11" t="str">
        <f t="shared" si="113"/>
        <v>IMP</v>
      </c>
      <c r="D61" s="11">
        <f t="shared" ref="D61:E61" si="122">W43</f>
        <v>21</v>
      </c>
      <c r="E61" s="11">
        <f t="shared" si="122"/>
        <v>99.5</v>
      </c>
      <c r="F61" s="6">
        <f t="shared" si="70"/>
        <v>0</v>
      </c>
      <c r="G61" s="6">
        <f t="shared" si="71"/>
        <v>6</v>
      </c>
      <c r="H61" s="6">
        <f t="shared" si="72"/>
        <v>7.5</v>
      </c>
      <c r="I61" s="6">
        <f t="shared" si="73"/>
        <v>8</v>
      </c>
      <c r="J61" s="6">
        <f t="shared" si="74"/>
        <v>8.6</v>
      </c>
      <c r="K61" s="6">
        <f t="shared" si="75"/>
        <v>10</v>
      </c>
      <c r="L61" s="6">
        <f t="shared" si="76"/>
        <v>0</v>
      </c>
      <c r="M61" s="8">
        <f t="shared" ref="M61:N61" si="123">AF43</f>
        <v>3540</v>
      </c>
      <c r="N61" s="1">
        <f t="shared" si="123"/>
        <v>0</v>
      </c>
      <c r="O61" s="1">
        <f t="shared" si="77"/>
        <v>14</v>
      </c>
      <c r="P61" s="1">
        <f t="shared" si="78"/>
        <v>18</v>
      </c>
      <c r="Q61" s="1">
        <f t="shared" si="79"/>
        <v>15</v>
      </c>
      <c r="R61" s="1">
        <f t="shared" si="80"/>
        <v>21</v>
      </c>
      <c r="S61" s="1">
        <f t="shared" si="81"/>
        <v>33</v>
      </c>
      <c r="T61" s="1">
        <f t="shared" si="82"/>
        <v>-2</v>
      </c>
      <c r="U61" s="10">
        <f>SUM(N61:T61)</f>
        <v>99</v>
      </c>
      <c r="W61">
        <f t="shared" ref="W61:W62" si="124">D61+1+1</f>
        <v>23</v>
      </c>
      <c r="X61">
        <f t="shared" ref="X61:X62" si="125">E61+$AQ$56-112</f>
        <v>57.5</v>
      </c>
      <c r="Y61" s="6">
        <f t="shared" si="84"/>
        <v>0</v>
      </c>
      <c r="Z61" s="6">
        <f>10+3/9</f>
        <v>10.333333333333334</v>
      </c>
      <c r="AA61" s="6">
        <f t="shared" si="86"/>
        <v>7.5</v>
      </c>
      <c r="AB61" s="6">
        <f t="shared" si="87"/>
        <v>8</v>
      </c>
      <c r="AC61" s="6">
        <f t="shared" si="88"/>
        <v>8.6</v>
      </c>
      <c r="AD61" s="6">
        <f t="shared" si="89"/>
        <v>10</v>
      </c>
      <c r="AE61" s="6">
        <f t="shared" si="90"/>
        <v>0</v>
      </c>
      <c r="AF61" s="8">
        <f>(2600+1315+140+275+330)*1</f>
        <v>4660</v>
      </c>
      <c r="AG61" s="1">
        <f t="shared" si="91"/>
        <v>0</v>
      </c>
      <c r="AH61" s="1">
        <f t="shared" si="109"/>
        <v>40</v>
      </c>
      <c r="AI61" s="1">
        <f t="shared" si="93"/>
        <v>18</v>
      </c>
      <c r="AJ61" s="1">
        <f t="shared" si="94"/>
        <v>15</v>
      </c>
      <c r="AK61" s="1">
        <f t="shared" si="95"/>
        <v>21</v>
      </c>
      <c r="AL61" s="1">
        <f t="shared" si="96"/>
        <v>33</v>
      </c>
      <c r="AM61" s="1">
        <f t="shared" si="97"/>
        <v>-2</v>
      </c>
      <c r="AN61" s="10">
        <f>SUM(AG61:AM61)</f>
        <v>125</v>
      </c>
    </row>
    <row r="62" spans="1:43" x14ac:dyDescent="0.25">
      <c r="A62" t="s">
        <v>35</v>
      </c>
      <c r="B62" s="4" t="str">
        <f t="shared" si="113"/>
        <v>J.G. Peñuela</v>
      </c>
      <c r="C62" s="11" t="str">
        <f t="shared" si="113"/>
        <v>IMP</v>
      </c>
      <c r="D62" s="11">
        <f t="shared" ref="D62:E62" si="126">W44</f>
        <v>21</v>
      </c>
      <c r="E62" s="11">
        <f t="shared" si="126"/>
        <v>95.5</v>
      </c>
      <c r="F62" s="6">
        <f t="shared" si="70"/>
        <v>0</v>
      </c>
      <c r="G62" s="6">
        <f t="shared" si="71"/>
        <v>3</v>
      </c>
      <c r="H62" s="6">
        <f t="shared" si="72"/>
        <v>8.6</v>
      </c>
      <c r="I62" s="6">
        <f t="shared" si="73"/>
        <v>8.8333333333333339</v>
      </c>
      <c r="J62" s="6">
        <f t="shared" si="74"/>
        <v>8</v>
      </c>
      <c r="K62" s="6">
        <f t="shared" si="75"/>
        <v>10.285714285714286</v>
      </c>
      <c r="L62" s="6">
        <f t="shared" si="76"/>
        <v>0</v>
      </c>
      <c r="M62" s="8">
        <f t="shared" ref="M62:N62" si="127">AF44</f>
        <v>3800</v>
      </c>
      <c r="N62" s="1">
        <f t="shared" si="127"/>
        <v>0</v>
      </c>
      <c r="O62" s="1">
        <f t="shared" si="77"/>
        <v>3</v>
      </c>
      <c r="P62" s="1">
        <f t="shared" si="78"/>
        <v>24</v>
      </c>
      <c r="Q62" s="1">
        <f t="shared" si="79"/>
        <v>17.5</v>
      </c>
      <c r="R62" s="1">
        <f t="shared" si="80"/>
        <v>18</v>
      </c>
      <c r="S62" s="1">
        <f t="shared" si="81"/>
        <v>35</v>
      </c>
      <c r="T62" s="1">
        <f t="shared" si="82"/>
        <v>-2</v>
      </c>
      <c r="U62" s="10">
        <f>SUM(N62:T62)</f>
        <v>95.5</v>
      </c>
      <c r="W62">
        <f t="shared" si="124"/>
        <v>23</v>
      </c>
      <c r="X62">
        <f t="shared" si="125"/>
        <v>53.5</v>
      </c>
      <c r="Y62" s="6">
        <f t="shared" si="84"/>
        <v>0</v>
      </c>
      <c r="Z62" s="6">
        <f>8+5/6</f>
        <v>8.8333333333333339</v>
      </c>
      <c r="AA62" s="6">
        <f t="shared" si="86"/>
        <v>8.6</v>
      </c>
      <c r="AB62" s="6">
        <f t="shared" si="87"/>
        <v>8.8333333333333339</v>
      </c>
      <c r="AC62" s="6">
        <f t="shared" si="88"/>
        <v>8</v>
      </c>
      <c r="AD62" s="6">
        <f t="shared" si="89"/>
        <v>10.285714285714286</v>
      </c>
      <c r="AE62" s="6">
        <f t="shared" si="90"/>
        <v>0</v>
      </c>
      <c r="AF62" s="8">
        <f>(2900+135+430+615+620)*1</f>
        <v>4700</v>
      </c>
      <c r="AG62" s="1">
        <f t="shared" si="91"/>
        <v>0</v>
      </c>
      <c r="AH62" s="1">
        <f t="shared" si="109"/>
        <v>29</v>
      </c>
      <c r="AI62" s="1">
        <f t="shared" si="93"/>
        <v>24</v>
      </c>
      <c r="AJ62" s="1">
        <f t="shared" si="94"/>
        <v>17.5</v>
      </c>
      <c r="AK62" s="1">
        <f t="shared" si="95"/>
        <v>18</v>
      </c>
      <c r="AL62" s="1">
        <f t="shared" si="96"/>
        <v>35</v>
      </c>
      <c r="AM62" s="1">
        <f t="shared" si="97"/>
        <v>-2</v>
      </c>
      <c r="AN62" s="10">
        <f>SUM(AG62:AM62)</f>
        <v>121.5</v>
      </c>
    </row>
    <row r="63" spans="1:43" x14ac:dyDescent="0.25">
      <c r="A63" t="s">
        <v>37</v>
      </c>
      <c r="B63" s="4"/>
      <c r="C63" s="11"/>
      <c r="D63" s="11"/>
      <c r="E63" s="11"/>
      <c r="F63" s="6">
        <f t="shared" si="70"/>
        <v>0</v>
      </c>
      <c r="G63" s="6">
        <f t="shared" si="71"/>
        <v>2</v>
      </c>
      <c r="H63" s="6">
        <f t="shared" si="72"/>
        <v>2</v>
      </c>
      <c r="I63" s="6">
        <f t="shared" si="73"/>
        <v>2</v>
      </c>
      <c r="J63" s="6">
        <f t="shared" si="74"/>
        <v>2</v>
      </c>
      <c r="K63" s="6">
        <f t="shared" si="75"/>
        <v>2</v>
      </c>
      <c r="L63" s="6">
        <f t="shared" si="76"/>
        <v>2</v>
      </c>
      <c r="M63" s="8"/>
      <c r="N63" s="1">
        <f t="shared" ref="M63:N63" si="128">AG45</f>
        <v>0</v>
      </c>
      <c r="O63" s="1">
        <f t="shared" si="77"/>
        <v>0</v>
      </c>
      <c r="P63" s="1">
        <f t="shared" si="78"/>
        <v>0</v>
      </c>
      <c r="Q63" s="1">
        <f t="shared" si="79"/>
        <v>0</v>
      </c>
      <c r="R63" s="1">
        <f t="shared" si="80"/>
        <v>0</v>
      </c>
      <c r="S63" s="1">
        <f t="shared" si="81"/>
        <v>0</v>
      </c>
      <c r="T63" s="1">
        <f t="shared" si="82"/>
        <v>0</v>
      </c>
      <c r="U63" s="10">
        <f t="shared" ref="U63:U64" si="129">SUM(N63:T63)</f>
        <v>0</v>
      </c>
      <c r="Y63" s="6">
        <f t="shared" si="84"/>
        <v>0</v>
      </c>
      <c r="Z63" s="6">
        <f t="shared" si="85"/>
        <v>2</v>
      </c>
      <c r="AA63" s="6">
        <f t="shared" si="86"/>
        <v>2</v>
      </c>
      <c r="AB63" s="6">
        <f t="shared" si="87"/>
        <v>2</v>
      </c>
      <c r="AC63" s="6">
        <f t="shared" si="88"/>
        <v>2</v>
      </c>
      <c r="AD63" s="6">
        <f t="shared" si="89"/>
        <v>2</v>
      </c>
      <c r="AE63" s="6">
        <f t="shared" si="90"/>
        <v>2</v>
      </c>
      <c r="AF63" s="8"/>
      <c r="AG63" s="1">
        <f t="shared" si="91"/>
        <v>0</v>
      </c>
      <c r="AH63" s="1">
        <f t="shared" si="92"/>
        <v>0</v>
      </c>
      <c r="AI63" s="1">
        <f t="shared" si="93"/>
        <v>0</v>
      </c>
      <c r="AJ63" s="1">
        <f t="shared" si="94"/>
        <v>0</v>
      </c>
      <c r="AK63" s="1">
        <f t="shared" si="95"/>
        <v>0</v>
      </c>
      <c r="AL63" s="1">
        <f t="shared" si="96"/>
        <v>0</v>
      </c>
      <c r="AM63" s="1">
        <f t="shared" si="97"/>
        <v>0</v>
      </c>
      <c r="AN63" s="10">
        <f t="shared" ref="AN63:AN64" si="130">SUM(AG63:AM63)</f>
        <v>0</v>
      </c>
    </row>
    <row r="64" spans="1:43" x14ac:dyDescent="0.25">
      <c r="A64" t="s">
        <v>121</v>
      </c>
      <c r="B64" s="4"/>
      <c r="C64" s="11"/>
      <c r="D64" s="11"/>
      <c r="E64" s="11"/>
      <c r="F64" s="6">
        <f t="shared" si="70"/>
        <v>0</v>
      </c>
      <c r="G64" s="6">
        <f t="shared" si="71"/>
        <v>2</v>
      </c>
      <c r="H64" s="6">
        <f t="shared" si="72"/>
        <v>2</v>
      </c>
      <c r="I64" s="6">
        <f t="shared" si="73"/>
        <v>2</v>
      </c>
      <c r="J64" s="6">
        <f t="shared" si="74"/>
        <v>2</v>
      </c>
      <c r="K64" s="6">
        <f t="shared" si="75"/>
        <v>2</v>
      </c>
      <c r="L64" s="6">
        <f t="shared" si="76"/>
        <v>2</v>
      </c>
      <c r="M64" s="8"/>
      <c r="N64" s="1">
        <f t="shared" ref="M64:N64" si="131">AG46</f>
        <v>0</v>
      </c>
      <c r="O64" s="1">
        <f t="shared" si="77"/>
        <v>0</v>
      </c>
      <c r="P64" s="1">
        <f t="shared" si="78"/>
        <v>0</v>
      </c>
      <c r="Q64" s="1">
        <f t="shared" si="79"/>
        <v>0</v>
      </c>
      <c r="R64" s="1">
        <f t="shared" si="80"/>
        <v>0</v>
      </c>
      <c r="S64" s="1">
        <f t="shared" si="81"/>
        <v>0</v>
      </c>
      <c r="T64" s="1">
        <f t="shared" si="82"/>
        <v>0</v>
      </c>
      <c r="U64" s="10">
        <f t="shared" si="129"/>
        <v>0</v>
      </c>
      <c r="Y64" s="6">
        <f t="shared" si="84"/>
        <v>0</v>
      </c>
      <c r="Z64" s="6">
        <f t="shared" si="85"/>
        <v>2</v>
      </c>
      <c r="AA64" s="6">
        <f t="shared" si="86"/>
        <v>2</v>
      </c>
      <c r="AB64" s="6">
        <f t="shared" si="87"/>
        <v>2</v>
      </c>
      <c r="AC64" s="6">
        <f t="shared" si="88"/>
        <v>2</v>
      </c>
      <c r="AD64" s="6">
        <f t="shared" si="89"/>
        <v>2</v>
      </c>
      <c r="AE64" s="6">
        <f t="shared" si="90"/>
        <v>2</v>
      </c>
      <c r="AF64" s="8"/>
      <c r="AG64" s="1">
        <f t="shared" si="91"/>
        <v>0</v>
      </c>
      <c r="AH64" s="1">
        <f t="shared" si="92"/>
        <v>0</v>
      </c>
      <c r="AI64" s="1">
        <f t="shared" si="93"/>
        <v>0</v>
      </c>
      <c r="AJ64" s="1">
        <f t="shared" si="94"/>
        <v>0</v>
      </c>
      <c r="AK64" s="1">
        <f t="shared" si="95"/>
        <v>0</v>
      </c>
      <c r="AL64" s="1">
        <f t="shared" si="96"/>
        <v>0</v>
      </c>
      <c r="AM64" s="1">
        <f t="shared" si="97"/>
        <v>0</v>
      </c>
      <c r="AN64" s="10">
        <f t="shared" si="130"/>
        <v>0</v>
      </c>
    </row>
    <row r="65" spans="1:43" x14ac:dyDescent="0.25">
      <c r="F65" s="1"/>
      <c r="G65" s="1"/>
      <c r="H65" s="1"/>
      <c r="I65" s="1"/>
      <c r="J65" s="1"/>
      <c r="K65" s="1"/>
      <c r="L65" s="1"/>
      <c r="M65" s="2">
        <f>SUM(M67:M81)</f>
        <v>151807.20000000001</v>
      </c>
      <c r="N65" s="1"/>
      <c r="O65" s="1"/>
      <c r="P65" s="1"/>
      <c r="Q65" s="1"/>
      <c r="R65" s="1"/>
      <c r="S65" s="1"/>
      <c r="T65" s="1"/>
      <c r="U65" s="1"/>
      <c r="Y65" s="1"/>
      <c r="Z65" s="1"/>
      <c r="AA65" s="1"/>
      <c r="AB65" s="1"/>
      <c r="AC65" s="1"/>
      <c r="AD65" s="1"/>
      <c r="AE65" s="1"/>
      <c r="AF65" s="2">
        <f>SUM(AF67:AF81)</f>
        <v>157600.34499999997</v>
      </c>
      <c r="AG65" s="1"/>
      <c r="AH65" s="1"/>
      <c r="AI65" s="1"/>
      <c r="AJ65" s="1"/>
      <c r="AK65" s="1"/>
      <c r="AL65" s="1"/>
      <c r="AM65" s="1"/>
      <c r="AN65" s="1"/>
    </row>
    <row r="66" spans="1:43" x14ac:dyDescent="0.25">
      <c r="A66" s="3" t="s">
        <v>0</v>
      </c>
      <c r="B66" s="3" t="s">
        <v>1</v>
      </c>
      <c r="C66" s="3" t="s">
        <v>2</v>
      </c>
      <c r="D66" s="3" t="s">
        <v>136</v>
      </c>
      <c r="E66" s="3" t="s">
        <v>137</v>
      </c>
      <c r="F66" s="3" t="s">
        <v>3</v>
      </c>
      <c r="G66" s="3" t="s">
        <v>4</v>
      </c>
      <c r="H66" s="3" t="s">
        <v>5</v>
      </c>
      <c r="I66" s="3" t="s">
        <v>6</v>
      </c>
      <c r="J66" s="3" t="s">
        <v>7</v>
      </c>
      <c r="K66" s="3" t="s">
        <v>8</v>
      </c>
      <c r="L66" s="3" t="s">
        <v>9</v>
      </c>
      <c r="M66" s="3" t="s">
        <v>10</v>
      </c>
      <c r="N66" s="3" t="s">
        <v>11</v>
      </c>
      <c r="O66" s="3" t="s">
        <v>12</v>
      </c>
      <c r="P66" s="3" t="s">
        <v>13</v>
      </c>
      <c r="Q66" s="3" t="s">
        <v>14</v>
      </c>
      <c r="R66" s="3" t="s">
        <v>15</v>
      </c>
      <c r="S66" s="3" t="s">
        <v>16</v>
      </c>
      <c r="T66" s="3" t="s">
        <v>17</v>
      </c>
      <c r="U66" s="3" t="s">
        <v>18</v>
      </c>
      <c r="W66" s="3" t="s">
        <v>136</v>
      </c>
      <c r="X66" s="3" t="s">
        <v>137</v>
      </c>
      <c r="Y66" s="3" t="s">
        <v>3</v>
      </c>
      <c r="Z66" s="3" t="s">
        <v>4</v>
      </c>
      <c r="AA66" s="3" t="s">
        <v>5</v>
      </c>
      <c r="AB66" s="3" t="s">
        <v>6</v>
      </c>
      <c r="AC66" s="3" t="s">
        <v>7</v>
      </c>
      <c r="AD66" s="3" t="s">
        <v>8</v>
      </c>
      <c r="AE66" s="3" t="s">
        <v>9</v>
      </c>
      <c r="AF66" s="3" t="s">
        <v>10</v>
      </c>
      <c r="AG66" s="3" t="s">
        <v>11</v>
      </c>
      <c r="AH66" s="3" t="s">
        <v>12</v>
      </c>
      <c r="AI66" s="3" t="s">
        <v>13</v>
      </c>
      <c r="AJ66" s="3" t="s">
        <v>14</v>
      </c>
      <c r="AK66" s="3" t="s">
        <v>15</v>
      </c>
      <c r="AL66" s="3" t="s">
        <v>16</v>
      </c>
      <c r="AM66" s="3" t="s">
        <v>17</v>
      </c>
      <c r="AN66" s="3" t="s">
        <v>18</v>
      </c>
    </row>
    <row r="67" spans="1:43" x14ac:dyDescent="0.25">
      <c r="A67" t="s">
        <v>19</v>
      </c>
      <c r="B67" s="4" t="s">
        <v>141</v>
      </c>
      <c r="C67" s="5"/>
      <c r="D67" s="5">
        <v>22</v>
      </c>
      <c r="E67" s="5">
        <v>0</v>
      </c>
      <c r="F67" s="6">
        <v>16</v>
      </c>
      <c r="G67" s="6">
        <v>10</v>
      </c>
      <c r="H67" s="6">
        <f t="shared" ref="G67:L67" si="132">AA49</f>
        <v>0</v>
      </c>
      <c r="I67" s="6">
        <f t="shared" si="132"/>
        <v>0</v>
      </c>
      <c r="J67" s="6">
        <f t="shared" si="132"/>
        <v>0</v>
      </c>
      <c r="K67" s="6">
        <f t="shared" si="132"/>
        <v>0</v>
      </c>
      <c r="L67" s="6">
        <v>7</v>
      </c>
      <c r="M67" s="8">
        <f>(24270+1165)*1.02</f>
        <v>25943.7</v>
      </c>
      <c r="N67" s="1">
        <v>52</v>
      </c>
      <c r="O67" s="1">
        <v>37</v>
      </c>
      <c r="P67" s="1">
        <f t="shared" ref="O67:T67" si="133">AI49</f>
        <v>0</v>
      </c>
      <c r="Q67" s="1">
        <f t="shared" si="133"/>
        <v>0</v>
      </c>
      <c r="R67" s="1">
        <f t="shared" si="133"/>
        <v>0</v>
      </c>
      <c r="S67" s="1">
        <f t="shared" si="133"/>
        <v>0</v>
      </c>
      <c r="T67" s="1">
        <v>5</v>
      </c>
      <c r="U67" s="10">
        <f>SUM(N67:T67)</f>
        <v>94</v>
      </c>
      <c r="W67">
        <f>D67+1</f>
        <v>23</v>
      </c>
      <c r="X67">
        <f>E67+$AQ$76</f>
        <v>63</v>
      </c>
      <c r="Y67" s="6">
        <f>F67</f>
        <v>16</v>
      </c>
      <c r="Z67" s="6">
        <f t="shared" ref="Z67:AE67" si="134">G67</f>
        <v>10</v>
      </c>
      <c r="AA67" s="6">
        <f t="shared" si="134"/>
        <v>0</v>
      </c>
      <c r="AB67" s="6">
        <f t="shared" si="134"/>
        <v>0</v>
      </c>
      <c r="AC67" s="6">
        <f t="shared" si="134"/>
        <v>0</v>
      </c>
      <c r="AD67" s="6">
        <f t="shared" si="134"/>
        <v>0</v>
      </c>
      <c r="AE67" s="6">
        <f>18+1/4</f>
        <v>18.25</v>
      </c>
      <c r="AF67" s="8">
        <f>(24270+1165)*1.055</f>
        <v>26833.924999999999</v>
      </c>
      <c r="AG67" s="1">
        <f>N67</f>
        <v>52</v>
      </c>
      <c r="AH67" s="1">
        <f t="shared" ref="AH67:AM67" si="135">O67</f>
        <v>37</v>
      </c>
      <c r="AI67" s="1">
        <f t="shared" si="135"/>
        <v>0</v>
      </c>
      <c r="AJ67" s="1">
        <f t="shared" si="135"/>
        <v>0</v>
      </c>
      <c r="AK67" s="1">
        <f t="shared" si="135"/>
        <v>0</v>
      </c>
      <c r="AL67" s="1">
        <f t="shared" si="135"/>
        <v>0</v>
      </c>
      <c r="AM67" s="1">
        <f>T67+$AQ$74</f>
        <v>30</v>
      </c>
      <c r="AN67" s="10">
        <f>SUM(AG67:AM67)</f>
        <v>119</v>
      </c>
    </row>
    <row r="68" spans="1:43" x14ac:dyDescent="0.25">
      <c r="A68" t="s">
        <v>21</v>
      </c>
      <c r="B68" s="4" t="s">
        <v>140</v>
      </c>
      <c r="C68" s="5" t="s">
        <v>50</v>
      </c>
      <c r="D68" s="5">
        <v>22</v>
      </c>
      <c r="E68" s="5">
        <v>50</v>
      </c>
      <c r="F68" s="6">
        <f t="shared" ref="D68:F68" si="136">Y50</f>
        <v>0</v>
      </c>
      <c r="G68" s="6">
        <v>12</v>
      </c>
      <c r="H68" s="6">
        <v>7</v>
      </c>
      <c r="I68" s="6">
        <f t="shared" ref="I68:I82" si="137">AB50</f>
        <v>2</v>
      </c>
      <c r="J68" s="6">
        <f t="shared" ref="J68:J82" si="138">AC50</f>
        <v>2</v>
      </c>
      <c r="K68" s="6">
        <v>10</v>
      </c>
      <c r="L68" s="6">
        <f t="shared" ref="L68:N82" si="139">AE50</f>
        <v>2</v>
      </c>
      <c r="M68" s="8">
        <f>(7010+255+1315)*1.008</f>
        <v>8648.64</v>
      </c>
      <c r="N68" s="1">
        <f t="shared" si="139"/>
        <v>0</v>
      </c>
      <c r="O68" s="1">
        <v>56</v>
      </c>
      <c r="P68" s="1">
        <v>16</v>
      </c>
      <c r="Q68" s="1">
        <f t="shared" ref="Q68:Q82" si="140">AJ50</f>
        <v>0</v>
      </c>
      <c r="R68" s="1">
        <f t="shared" ref="R68:R82" si="141">AK50</f>
        <v>0</v>
      </c>
      <c r="S68" s="1">
        <v>33</v>
      </c>
      <c r="T68" s="1">
        <f t="shared" ref="T68:T82" si="142">AM50</f>
        <v>0</v>
      </c>
      <c r="U68" s="10">
        <f t="shared" ref="U68" si="143">SUM(N68:T68)</f>
        <v>105</v>
      </c>
      <c r="W68">
        <f>D68+1+1</f>
        <v>24</v>
      </c>
      <c r="X68">
        <f>E68+$AQ$76-112</f>
        <v>1</v>
      </c>
      <c r="Y68" s="6">
        <f t="shared" ref="Y68:Y82" si="144">F68</f>
        <v>0</v>
      </c>
      <c r="Z68" s="6">
        <f t="shared" ref="Z68:Z82" si="145">G68</f>
        <v>12</v>
      </c>
      <c r="AA68" s="6">
        <f t="shared" ref="AA68:AA82" si="146">H68</f>
        <v>7</v>
      </c>
      <c r="AB68" s="6">
        <f t="shared" ref="AB68:AB82" si="147">I68</f>
        <v>2</v>
      </c>
      <c r="AC68" s="6">
        <f t="shared" ref="AC68:AC82" si="148">J68</f>
        <v>2</v>
      </c>
      <c r="AD68" s="6">
        <f t="shared" ref="AD68:AD82" si="149">K68</f>
        <v>10</v>
      </c>
      <c r="AE68" s="6">
        <v>17</v>
      </c>
      <c r="AF68" s="8">
        <f>(7010+255+1315)*1.047</f>
        <v>8983.26</v>
      </c>
      <c r="AG68" s="1">
        <f t="shared" ref="AG68:AG82" si="150">N68</f>
        <v>0</v>
      </c>
      <c r="AH68" s="1">
        <f t="shared" ref="AH68:AH82" si="151">O68</f>
        <v>56</v>
      </c>
      <c r="AI68" s="1">
        <f t="shared" ref="AI68:AI82" si="152">P68</f>
        <v>16</v>
      </c>
      <c r="AJ68" s="1">
        <f t="shared" ref="AJ68:AJ82" si="153">Q68</f>
        <v>0</v>
      </c>
      <c r="AK68" s="1">
        <f t="shared" ref="AK68:AK82" si="154">R68</f>
        <v>0</v>
      </c>
      <c r="AL68" s="1">
        <f t="shared" ref="AL68:AL82" si="155">S68</f>
        <v>33</v>
      </c>
      <c r="AM68" s="1">
        <f t="shared" ref="AM68:AM82" si="156">T68+$AQ$74</f>
        <v>25</v>
      </c>
      <c r="AN68" s="10">
        <f t="shared" ref="AN68" si="157">SUM(AG68:AM68)</f>
        <v>130</v>
      </c>
    </row>
    <row r="69" spans="1:43" x14ac:dyDescent="0.25">
      <c r="A69" t="s">
        <v>23</v>
      </c>
      <c r="B69" s="4" t="s">
        <v>140</v>
      </c>
      <c r="C69" s="5" t="s">
        <v>50</v>
      </c>
      <c r="D69" s="5">
        <v>22</v>
      </c>
      <c r="E69" s="5">
        <v>50</v>
      </c>
      <c r="F69" s="6">
        <f t="shared" ref="D69:F69" si="158">Y51</f>
        <v>0</v>
      </c>
      <c r="G69" s="6">
        <v>12</v>
      </c>
      <c r="H69" s="6">
        <v>7</v>
      </c>
      <c r="I69" s="6">
        <f t="shared" si="137"/>
        <v>2</v>
      </c>
      <c r="J69" s="6">
        <f t="shared" si="138"/>
        <v>2</v>
      </c>
      <c r="K69" s="6">
        <v>10</v>
      </c>
      <c r="L69" s="6">
        <f t="shared" si="139"/>
        <v>2</v>
      </c>
      <c r="M69" s="8">
        <f>(7010+255+1315)*1.008</f>
        <v>8648.64</v>
      </c>
      <c r="N69" s="1">
        <f t="shared" ref="M69:N69" si="159">AG51</f>
        <v>0</v>
      </c>
      <c r="O69" s="1">
        <v>56</v>
      </c>
      <c r="P69" s="1">
        <v>16</v>
      </c>
      <c r="Q69" s="1">
        <f t="shared" si="140"/>
        <v>0</v>
      </c>
      <c r="R69" s="1">
        <f t="shared" si="141"/>
        <v>0</v>
      </c>
      <c r="S69" s="1">
        <v>33</v>
      </c>
      <c r="T69" s="1">
        <f t="shared" si="142"/>
        <v>0</v>
      </c>
      <c r="U69" s="10">
        <f>SUM(N69:T69)</f>
        <v>105</v>
      </c>
      <c r="W69">
        <f t="shared" ref="W69:W70" si="160">D69+1+1</f>
        <v>24</v>
      </c>
      <c r="X69">
        <f t="shared" ref="X69:X70" si="161">E69+$AQ$76-112</f>
        <v>1</v>
      </c>
      <c r="Y69" s="6">
        <f t="shared" si="144"/>
        <v>0</v>
      </c>
      <c r="Z69" s="6">
        <f t="shared" si="145"/>
        <v>12</v>
      </c>
      <c r="AA69" s="6">
        <f t="shared" si="146"/>
        <v>7</v>
      </c>
      <c r="AB69" s="6">
        <f t="shared" si="147"/>
        <v>2</v>
      </c>
      <c r="AC69" s="6">
        <f t="shared" si="148"/>
        <v>2</v>
      </c>
      <c r="AD69" s="6">
        <f t="shared" si="149"/>
        <v>10</v>
      </c>
      <c r="AE69" s="6">
        <v>17</v>
      </c>
      <c r="AF69" s="8">
        <f t="shared" ref="AF69:AF70" si="162">(7010+255+1315)*1.047</f>
        <v>8983.26</v>
      </c>
      <c r="AG69" s="1">
        <f t="shared" si="150"/>
        <v>0</v>
      </c>
      <c r="AH69" s="1">
        <f t="shared" si="151"/>
        <v>56</v>
      </c>
      <c r="AI69" s="1">
        <f t="shared" si="152"/>
        <v>16</v>
      </c>
      <c r="AJ69" s="1">
        <f t="shared" si="153"/>
        <v>0</v>
      </c>
      <c r="AK69" s="1">
        <f t="shared" si="154"/>
        <v>0</v>
      </c>
      <c r="AL69" s="1">
        <f t="shared" si="155"/>
        <v>33</v>
      </c>
      <c r="AM69" s="1">
        <f t="shared" si="156"/>
        <v>25</v>
      </c>
      <c r="AN69" s="10">
        <f>SUM(AG69:AM69)</f>
        <v>130</v>
      </c>
    </row>
    <row r="70" spans="1:43" x14ac:dyDescent="0.25">
      <c r="A70" t="s">
        <v>24</v>
      </c>
      <c r="B70" s="4" t="s">
        <v>140</v>
      </c>
      <c r="C70" s="5" t="s">
        <v>50</v>
      </c>
      <c r="D70" s="5">
        <v>22</v>
      </c>
      <c r="E70" s="5">
        <v>50</v>
      </c>
      <c r="F70" s="6">
        <f t="shared" ref="D70:F70" si="163">Y52</f>
        <v>0</v>
      </c>
      <c r="G70" s="6">
        <v>12</v>
      </c>
      <c r="H70" s="6">
        <v>7</v>
      </c>
      <c r="I70" s="6">
        <f t="shared" si="137"/>
        <v>2</v>
      </c>
      <c r="J70" s="6">
        <f t="shared" si="138"/>
        <v>2</v>
      </c>
      <c r="K70" s="6">
        <v>10</v>
      </c>
      <c r="L70" s="6">
        <f t="shared" si="139"/>
        <v>2</v>
      </c>
      <c r="M70" s="8">
        <f>(7010+255+1315)*1.008</f>
        <v>8648.64</v>
      </c>
      <c r="N70" s="1">
        <f t="shared" ref="M70:N70" si="164">AG52</f>
        <v>0</v>
      </c>
      <c r="O70" s="1">
        <v>56</v>
      </c>
      <c r="P70" s="1">
        <v>16</v>
      </c>
      <c r="Q70" s="1">
        <f t="shared" si="140"/>
        <v>0</v>
      </c>
      <c r="R70" s="1">
        <f t="shared" si="141"/>
        <v>0</v>
      </c>
      <c r="S70" s="1">
        <v>33</v>
      </c>
      <c r="T70" s="1">
        <f t="shared" si="142"/>
        <v>0</v>
      </c>
      <c r="U70" s="10">
        <f>SUM(N70:T70)</f>
        <v>105</v>
      </c>
      <c r="W70">
        <f t="shared" si="160"/>
        <v>24</v>
      </c>
      <c r="X70">
        <f t="shared" si="161"/>
        <v>1</v>
      </c>
      <c r="Y70" s="6">
        <f t="shared" si="144"/>
        <v>0</v>
      </c>
      <c r="Z70" s="6">
        <f t="shared" si="145"/>
        <v>12</v>
      </c>
      <c r="AA70" s="6">
        <f t="shared" si="146"/>
        <v>7</v>
      </c>
      <c r="AB70" s="6">
        <f t="shared" si="147"/>
        <v>2</v>
      </c>
      <c r="AC70" s="6">
        <f t="shared" si="148"/>
        <v>2</v>
      </c>
      <c r="AD70" s="6">
        <f t="shared" si="149"/>
        <v>10</v>
      </c>
      <c r="AE70" s="6">
        <v>17</v>
      </c>
      <c r="AF70" s="8">
        <f t="shared" si="162"/>
        <v>8983.26</v>
      </c>
      <c r="AG70" s="1">
        <f t="shared" si="150"/>
        <v>0</v>
      </c>
      <c r="AH70" s="1">
        <f t="shared" si="151"/>
        <v>56</v>
      </c>
      <c r="AI70" s="1">
        <f t="shared" si="152"/>
        <v>16</v>
      </c>
      <c r="AJ70" s="1">
        <f t="shared" si="153"/>
        <v>0</v>
      </c>
      <c r="AK70" s="1">
        <f t="shared" si="154"/>
        <v>0</v>
      </c>
      <c r="AL70" s="1">
        <f t="shared" si="155"/>
        <v>33</v>
      </c>
      <c r="AM70" s="1">
        <f t="shared" si="156"/>
        <v>25</v>
      </c>
      <c r="AN70" s="10">
        <f>SUM(AG70:AM70)</f>
        <v>130</v>
      </c>
    </row>
    <row r="71" spans="1:43" x14ac:dyDescent="0.25">
      <c r="A71" t="s">
        <v>25</v>
      </c>
      <c r="B71" s="4" t="str">
        <f t="shared" ref="B68:C82" si="165">B53</f>
        <v>Defensa</v>
      </c>
      <c r="C71" s="5" t="str">
        <f t="shared" si="165"/>
        <v>POT</v>
      </c>
      <c r="D71" s="5">
        <f t="shared" ref="D71:F71" si="166">W53</f>
        <v>23</v>
      </c>
      <c r="E71" s="5">
        <f t="shared" si="166"/>
        <v>28</v>
      </c>
      <c r="F71" s="6">
        <f t="shared" si="166"/>
        <v>0</v>
      </c>
      <c r="G71" s="6">
        <f t="shared" ref="G68:G82" si="167">Z53</f>
        <v>12</v>
      </c>
      <c r="H71" s="6">
        <f t="shared" ref="H68:H82" si="168">AA53</f>
        <v>10</v>
      </c>
      <c r="I71" s="6">
        <f t="shared" si="137"/>
        <v>2</v>
      </c>
      <c r="J71" s="6">
        <f t="shared" si="138"/>
        <v>2</v>
      </c>
      <c r="K71" s="6">
        <f t="shared" ref="K68:K82" si="169">AD53</f>
        <v>10</v>
      </c>
      <c r="L71" s="6">
        <f t="shared" si="139"/>
        <v>2</v>
      </c>
      <c r="M71" s="8">
        <f t="shared" ref="M71:N71" si="170">AF53</f>
        <v>9858.24</v>
      </c>
      <c r="N71" s="1">
        <f t="shared" si="170"/>
        <v>0</v>
      </c>
      <c r="O71" s="1">
        <f t="shared" ref="O68:O82" si="171">AH53</f>
        <v>56</v>
      </c>
      <c r="P71" s="1">
        <f t="shared" ref="P68:P82" si="172">AI53</f>
        <v>33</v>
      </c>
      <c r="Q71" s="1">
        <f t="shared" si="140"/>
        <v>0</v>
      </c>
      <c r="R71" s="1">
        <f t="shared" si="141"/>
        <v>0</v>
      </c>
      <c r="S71" s="1">
        <f t="shared" ref="S68:S82" si="173">AL53</f>
        <v>33</v>
      </c>
      <c r="T71" s="1">
        <f t="shared" si="142"/>
        <v>0</v>
      </c>
      <c r="U71" s="10">
        <f t="shared" ref="U71:U78" si="174">SUM(N71:T71)</f>
        <v>122</v>
      </c>
      <c r="W71">
        <f t="shared" ref="W68:W82" si="175">D71+1</f>
        <v>24</v>
      </c>
      <c r="X71">
        <f t="shared" ref="X68:X82" si="176">E71+$AQ$76</f>
        <v>91</v>
      </c>
      <c r="Y71" s="6">
        <f t="shared" si="144"/>
        <v>0</v>
      </c>
      <c r="Z71" s="6">
        <f t="shared" si="145"/>
        <v>12</v>
      </c>
      <c r="AA71" s="6">
        <f t="shared" si="146"/>
        <v>10</v>
      </c>
      <c r="AB71" s="6">
        <f t="shared" si="147"/>
        <v>2</v>
      </c>
      <c r="AC71" s="6">
        <f t="shared" si="148"/>
        <v>2</v>
      </c>
      <c r="AD71" s="6">
        <f t="shared" si="149"/>
        <v>10</v>
      </c>
      <c r="AE71" s="6">
        <v>17</v>
      </c>
      <c r="AF71" s="8">
        <f>(7010+1455+1315)*1.047</f>
        <v>10239.66</v>
      </c>
      <c r="AG71" s="1">
        <f t="shared" si="150"/>
        <v>0</v>
      </c>
      <c r="AH71" s="1">
        <f t="shared" si="151"/>
        <v>56</v>
      </c>
      <c r="AI71" s="1">
        <f t="shared" si="152"/>
        <v>33</v>
      </c>
      <c r="AJ71" s="1">
        <f t="shared" si="153"/>
        <v>0</v>
      </c>
      <c r="AK71" s="1">
        <f t="shared" si="154"/>
        <v>0</v>
      </c>
      <c r="AL71" s="1">
        <f t="shared" si="155"/>
        <v>33</v>
      </c>
      <c r="AM71" s="1">
        <f t="shared" si="156"/>
        <v>25</v>
      </c>
      <c r="AN71" s="10">
        <f t="shared" ref="AN71:AN78" si="177">SUM(AG71:AM71)</f>
        <v>147</v>
      </c>
    </row>
    <row r="72" spans="1:43" x14ac:dyDescent="0.25">
      <c r="A72" t="s">
        <v>26</v>
      </c>
      <c r="B72" s="4" t="str">
        <f t="shared" si="165"/>
        <v>Defensa</v>
      </c>
      <c r="C72" s="5" t="str">
        <f t="shared" si="165"/>
        <v>POT</v>
      </c>
      <c r="D72" s="5">
        <f t="shared" ref="D72:F72" si="178">W54</f>
        <v>23</v>
      </c>
      <c r="E72" s="5">
        <f t="shared" si="178"/>
        <v>28</v>
      </c>
      <c r="F72" s="6">
        <f t="shared" si="178"/>
        <v>0</v>
      </c>
      <c r="G72" s="6">
        <f t="shared" si="167"/>
        <v>12</v>
      </c>
      <c r="H72" s="6">
        <f t="shared" si="168"/>
        <v>10</v>
      </c>
      <c r="I72" s="6">
        <f t="shared" si="137"/>
        <v>2</v>
      </c>
      <c r="J72" s="6">
        <f t="shared" si="138"/>
        <v>2</v>
      </c>
      <c r="K72" s="6">
        <f t="shared" si="169"/>
        <v>10</v>
      </c>
      <c r="L72" s="6">
        <f t="shared" si="139"/>
        <v>2</v>
      </c>
      <c r="M72" s="8">
        <f t="shared" ref="M72:N72" si="179">AF54</f>
        <v>9858.24</v>
      </c>
      <c r="N72" s="1">
        <f t="shared" si="179"/>
        <v>0</v>
      </c>
      <c r="O72" s="1">
        <f t="shared" si="171"/>
        <v>56</v>
      </c>
      <c r="P72" s="1">
        <f t="shared" si="172"/>
        <v>33</v>
      </c>
      <c r="Q72" s="1">
        <f t="shared" si="140"/>
        <v>0</v>
      </c>
      <c r="R72" s="1">
        <f t="shared" si="141"/>
        <v>0</v>
      </c>
      <c r="S72" s="1">
        <f t="shared" si="173"/>
        <v>33</v>
      </c>
      <c r="T72" s="1">
        <f t="shared" si="142"/>
        <v>0</v>
      </c>
      <c r="U72" s="10">
        <f t="shared" si="174"/>
        <v>122</v>
      </c>
      <c r="W72">
        <f t="shared" si="175"/>
        <v>24</v>
      </c>
      <c r="X72">
        <f t="shared" si="176"/>
        <v>91</v>
      </c>
      <c r="Y72" s="6">
        <f t="shared" si="144"/>
        <v>0</v>
      </c>
      <c r="Z72" s="6">
        <f t="shared" si="145"/>
        <v>12</v>
      </c>
      <c r="AA72" s="6">
        <f t="shared" si="146"/>
        <v>10</v>
      </c>
      <c r="AB72" s="6">
        <f t="shared" si="147"/>
        <v>2</v>
      </c>
      <c r="AC72" s="6">
        <f t="shared" si="148"/>
        <v>2</v>
      </c>
      <c r="AD72" s="6">
        <f t="shared" si="149"/>
        <v>10</v>
      </c>
      <c r="AE72" s="6">
        <v>17</v>
      </c>
      <c r="AF72" s="8">
        <f t="shared" ref="AF72:AF74" si="180">(7010+1455+1315)*1.047</f>
        <v>10239.66</v>
      </c>
      <c r="AG72" s="1">
        <f t="shared" si="150"/>
        <v>0</v>
      </c>
      <c r="AH72" s="1">
        <f t="shared" si="151"/>
        <v>56</v>
      </c>
      <c r="AI72" s="1">
        <f t="shared" si="152"/>
        <v>33</v>
      </c>
      <c r="AJ72" s="1">
        <f t="shared" si="153"/>
        <v>0</v>
      </c>
      <c r="AK72" s="1">
        <f t="shared" si="154"/>
        <v>0</v>
      </c>
      <c r="AL72" s="1">
        <f t="shared" si="155"/>
        <v>33</v>
      </c>
      <c r="AM72" s="1">
        <f t="shared" si="156"/>
        <v>25</v>
      </c>
      <c r="AN72" s="10">
        <f t="shared" si="177"/>
        <v>147</v>
      </c>
    </row>
    <row r="73" spans="1:43" x14ac:dyDescent="0.25">
      <c r="A73" t="s">
        <v>27</v>
      </c>
      <c r="B73" s="4" t="str">
        <f t="shared" si="165"/>
        <v>Defensa</v>
      </c>
      <c r="C73" s="5" t="str">
        <f t="shared" si="165"/>
        <v>IMP</v>
      </c>
      <c r="D73" s="5">
        <f t="shared" ref="D73:F73" si="181">W55</f>
        <v>23</v>
      </c>
      <c r="E73" s="5">
        <f t="shared" si="181"/>
        <v>28</v>
      </c>
      <c r="F73" s="6">
        <f t="shared" si="181"/>
        <v>0</v>
      </c>
      <c r="G73" s="6">
        <f t="shared" si="167"/>
        <v>12</v>
      </c>
      <c r="H73" s="6">
        <f t="shared" si="168"/>
        <v>10</v>
      </c>
      <c r="I73" s="6">
        <f t="shared" si="137"/>
        <v>2</v>
      </c>
      <c r="J73" s="6">
        <f t="shared" si="138"/>
        <v>2</v>
      </c>
      <c r="K73" s="6">
        <f t="shared" si="169"/>
        <v>10</v>
      </c>
      <c r="L73" s="6">
        <f t="shared" si="139"/>
        <v>2</v>
      </c>
      <c r="M73" s="8">
        <f t="shared" ref="M73:N73" si="182">AF55</f>
        <v>9858.24</v>
      </c>
      <c r="N73" s="1">
        <f t="shared" si="182"/>
        <v>0</v>
      </c>
      <c r="O73" s="1">
        <f t="shared" si="171"/>
        <v>56</v>
      </c>
      <c r="P73" s="1">
        <f t="shared" si="172"/>
        <v>33</v>
      </c>
      <c r="Q73" s="1">
        <f t="shared" si="140"/>
        <v>0</v>
      </c>
      <c r="R73" s="1">
        <f t="shared" si="141"/>
        <v>0</v>
      </c>
      <c r="S73" s="1">
        <f t="shared" si="173"/>
        <v>33</v>
      </c>
      <c r="T73" s="1">
        <f t="shared" si="142"/>
        <v>0</v>
      </c>
      <c r="U73" s="10">
        <f t="shared" si="174"/>
        <v>122</v>
      </c>
      <c r="W73">
        <f t="shared" si="175"/>
        <v>24</v>
      </c>
      <c r="X73">
        <f t="shared" si="176"/>
        <v>91</v>
      </c>
      <c r="Y73" s="6">
        <f t="shared" si="144"/>
        <v>0</v>
      </c>
      <c r="Z73" s="6">
        <f t="shared" si="145"/>
        <v>12</v>
      </c>
      <c r="AA73" s="6">
        <f t="shared" si="146"/>
        <v>10</v>
      </c>
      <c r="AB73" s="6">
        <f t="shared" si="147"/>
        <v>2</v>
      </c>
      <c r="AC73" s="6">
        <f t="shared" si="148"/>
        <v>2</v>
      </c>
      <c r="AD73" s="6">
        <f t="shared" si="149"/>
        <v>10</v>
      </c>
      <c r="AE73" s="6">
        <v>17</v>
      </c>
      <c r="AF73" s="8">
        <f t="shared" si="180"/>
        <v>10239.66</v>
      </c>
      <c r="AG73" s="1">
        <f t="shared" si="150"/>
        <v>0</v>
      </c>
      <c r="AH73" s="1">
        <f t="shared" si="151"/>
        <v>56</v>
      </c>
      <c r="AI73" s="1">
        <f t="shared" si="152"/>
        <v>33</v>
      </c>
      <c r="AJ73" s="1">
        <f t="shared" si="153"/>
        <v>0</v>
      </c>
      <c r="AK73" s="1">
        <f t="shared" si="154"/>
        <v>0</v>
      </c>
      <c r="AL73" s="1">
        <f t="shared" si="155"/>
        <v>33</v>
      </c>
      <c r="AM73" s="1">
        <f t="shared" si="156"/>
        <v>25</v>
      </c>
      <c r="AN73" s="10">
        <f t="shared" si="177"/>
        <v>147</v>
      </c>
    </row>
    <row r="74" spans="1:43" x14ac:dyDescent="0.25">
      <c r="A74" t="s">
        <v>28</v>
      </c>
      <c r="B74" s="4" t="str">
        <f t="shared" si="165"/>
        <v>Defensa</v>
      </c>
      <c r="C74" s="5" t="str">
        <f t="shared" si="165"/>
        <v>IMP</v>
      </c>
      <c r="D74" s="5">
        <f t="shared" ref="D74:F74" si="183">W56</f>
        <v>23</v>
      </c>
      <c r="E74" s="5">
        <f t="shared" si="183"/>
        <v>28</v>
      </c>
      <c r="F74" s="6">
        <f t="shared" si="183"/>
        <v>0</v>
      </c>
      <c r="G74" s="6">
        <f t="shared" si="167"/>
        <v>12</v>
      </c>
      <c r="H74" s="6">
        <f t="shared" si="168"/>
        <v>10</v>
      </c>
      <c r="I74" s="6">
        <f t="shared" si="137"/>
        <v>2</v>
      </c>
      <c r="J74" s="6">
        <f t="shared" si="138"/>
        <v>2</v>
      </c>
      <c r="K74" s="6">
        <f t="shared" si="169"/>
        <v>10</v>
      </c>
      <c r="L74" s="6">
        <f t="shared" si="139"/>
        <v>2</v>
      </c>
      <c r="M74" s="8">
        <f t="shared" ref="M74:N74" si="184">AF56</f>
        <v>9858.24</v>
      </c>
      <c r="N74" s="1">
        <f t="shared" si="184"/>
        <v>0</v>
      </c>
      <c r="O74" s="1">
        <f t="shared" si="171"/>
        <v>56</v>
      </c>
      <c r="P74" s="1">
        <f t="shared" si="172"/>
        <v>33</v>
      </c>
      <c r="Q74" s="1">
        <f t="shared" si="140"/>
        <v>0</v>
      </c>
      <c r="R74" s="1">
        <f t="shared" si="141"/>
        <v>0</v>
      </c>
      <c r="S74" s="1">
        <f t="shared" si="173"/>
        <v>33</v>
      </c>
      <c r="T74" s="1">
        <f t="shared" si="142"/>
        <v>0</v>
      </c>
      <c r="U74" s="10">
        <f t="shared" si="174"/>
        <v>122</v>
      </c>
      <c r="W74">
        <f t="shared" si="175"/>
        <v>24</v>
      </c>
      <c r="X74">
        <f t="shared" si="176"/>
        <v>91</v>
      </c>
      <c r="Y74" s="6">
        <f t="shared" si="144"/>
        <v>0</v>
      </c>
      <c r="Z74" s="6">
        <f t="shared" si="145"/>
        <v>12</v>
      </c>
      <c r="AA74" s="6">
        <f t="shared" si="146"/>
        <v>10</v>
      </c>
      <c r="AB74" s="6">
        <f t="shared" si="147"/>
        <v>2</v>
      </c>
      <c r="AC74" s="6">
        <f t="shared" si="148"/>
        <v>2</v>
      </c>
      <c r="AD74" s="6">
        <f t="shared" si="149"/>
        <v>10</v>
      </c>
      <c r="AE74" s="6">
        <v>17</v>
      </c>
      <c r="AF74" s="8">
        <f t="shared" si="180"/>
        <v>10239.66</v>
      </c>
      <c r="AG74" s="1">
        <f t="shared" si="150"/>
        <v>0</v>
      </c>
      <c r="AH74" s="1">
        <f t="shared" si="151"/>
        <v>56</v>
      </c>
      <c r="AI74" s="1">
        <f t="shared" si="152"/>
        <v>33</v>
      </c>
      <c r="AJ74" s="1">
        <f t="shared" si="153"/>
        <v>0</v>
      </c>
      <c r="AK74" s="1">
        <f t="shared" si="154"/>
        <v>0</v>
      </c>
      <c r="AL74" s="1">
        <f t="shared" si="155"/>
        <v>33</v>
      </c>
      <c r="AM74" s="1">
        <f t="shared" si="156"/>
        <v>25</v>
      </c>
      <c r="AN74" s="10">
        <f t="shared" si="177"/>
        <v>147</v>
      </c>
      <c r="AP74" t="s">
        <v>85</v>
      </c>
      <c r="AQ74">
        <v>25</v>
      </c>
    </row>
    <row r="75" spans="1:43" x14ac:dyDescent="0.25">
      <c r="A75" t="s">
        <v>29</v>
      </c>
      <c r="B75" s="4" t="str">
        <f t="shared" si="165"/>
        <v>Inner</v>
      </c>
      <c r="C75" s="5" t="str">
        <f t="shared" si="165"/>
        <v>CAB</v>
      </c>
      <c r="D75" s="5">
        <f t="shared" ref="D75:F75" si="185">W57</f>
        <v>23</v>
      </c>
      <c r="E75" s="5">
        <f t="shared" si="185"/>
        <v>38</v>
      </c>
      <c r="F75" s="6">
        <f t="shared" si="185"/>
        <v>0</v>
      </c>
      <c r="G75" s="6">
        <f t="shared" si="167"/>
        <v>10.777777777777779</v>
      </c>
      <c r="H75" s="6">
        <f t="shared" si="168"/>
        <v>12</v>
      </c>
      <c r="I75" s="6">
        <f t="shared" si="137"/>
        <v>2</v>
      </c>
      <c r="J75" s="6">
        <f t="shared" si="138"/>
        <v>2</v>
      </c>
      <c r="K75" s="6">
        <f t="shared" si="169"/>
        <v>10</v>
      </c>
      <c r="L75" s="6">
        <f t="shared" si="139"/>
        <v>2</v>
      </c>
      <c r="M75" s="8">
        <f t="shared" ref="M75:N75" si="186">AF57</f>
        <v>11980.08</v>
      </c>
      <c r="N75" s="1">
        <f t="shared" si="186"/>
        <v>0</v>
      </c>
      <c r="O75" s="1">
        <f t="shared" si="171"/>
        <v>44</v>
      </c>
      <c r="P75" s="1">
        <f t="shared" si="172"/>
        <v>48</v>
      </c>
      <c r="Q75" s="1">
        <f t="shared" si="140"/>
        <v>0</v>
      </c>
      <c r="R75" s="1">
        <f t="shared" si="141"/>
        <v>0</v>
      </c>
      <c r="S75" s="1">
        <f t="shared" si="173"/>
        <v>33</v>
      </c>
      <c r="T75" s="1">
        <f t="shared" si="142"/>
        <v>0</v>
      </c>
      <c r="U75" s="10">
        <f t="shared" si="174"/>
        <v>125</v>
      </c>
      <c r="W75">
        <f t="shared" si="175"/>
        <v>24</v>
      </c>
      <c r="X75">
        <f t="shared" si="176"/>
        <v>101</v>
      </c>
      <c r="Y75" s="6">
        <f t="shared" si="144"/>
        <v>0</v>
      </c>
      <c r="Z75" s="6">
        <f t="shared" si="145"/>
        <v>10.777777777777779</v>
      </c>
      <c r="AA75" s="6">
        <f t="shared" si="146"/>
        <v>12</v>
      </c>
      <c r="AB75" s="6">
        <f t="shared" si="147"/>
        <v>2</v>
      </c>
      <c r="AC75" s="6">
        <f t="shared" si="148"/>
        <v>2</v>
      </c>
      <c r="AD75" s="6">
        <f t="shared" si="149"/>
        <v>10</v>
      </c>
      <c r="AE75" s="6">
        <v>17</v>
      </c>
      <c r="AF75" s="8">
        <f>(8670+1900+1315)*1.047</f>
        <v>12443.594999999999</v>
      </c>
      <c r="AG75" s="1">
        <f t="shared" si="150"/>
        <v>0</v>
      </c>
      <c r="AH75" s="1">
        <f t="shared" si="151"/>
        <v>44</v>
      </c>
      <c r="AI75" s="1">
        <f t="shared" si="152"/>
        <v>48</v>
      </c>
      <c r="AJ75" s="1">
        <f t="shared" si="153"/>
        <v>0</v>
      </c>
      <c r="AK75" s="1">
        <f t="shared" si="154"/>
        <v>0</v>
      </c>
      <c r="AL75" s="1">
        <f t="shared" si="155"/>
        <v>33</v>
      </c>
      <c r="AM75" s="1">
        <f t="shared" si="156"/>
        <v>25</v>
      </c>
      <c r="AN75" s="10">
        <f t="shared" si="177"/>
        <v>150</v>
      </c>
      <c r="AQ75">
        <f>AQ74*7</f>
        <v>175</v>
      </c>
    </row>
    <row r="76" spans="1:43" x14ac:dyDescent="0.25">
      <c r="A76" t="s">
        <v>72</v>
      </c>
      <c r="B76" s="4" t="str">
        <f t="shared" si="165"/>
        <v>Inner</v>
      </c>
      <c r="C76" s="5" t="str">
        <f t="shared" si="165"/>
        <v>CAB</v>
      </c>
      <c r="D76" s="5">
        <f t="shared" ref="D76:F76" si="187">W58</f>
        <v>23</v>
      </c>
      <c r="E76" s="5">
        <f t="shared" si="187"/>
        <v>38</v>
      </c>
      <c r="F76" s="6">
        <f t="shared" si="187"/>
        <v>0</v>
      </c>
      <c r="G76" s="6">
        <f t="shared" si="167"/>
        <v>10.777777777777779</v>
      </c>
      <c r="H76" s="6">
        <f t="shared" si="168"/>
        <v>12</v>
      </c>
      <c r="I76" s="6">
        <f t="shared" si="137"/>
        <v>2</v>
      </c>
      <c r="J76" s="6">
        <f t="shared" si="138"/>
        <v>2</v>
      </c>
      <c r="K76" s="6">
        <f t="shared" si="169"/>
        <v>10</v>
      </c>
      <c r="L76" s="6">
        <f t="shared" si="139"/>
        <v>2</v>
      </c>
      <c r="M76" s="8">
        <f t="shared" ref="M76:N76" si="188">AF58</f>
        <v>11980.08</v>
      </c>
      <c r="N76" s="1">
        <f t="shared" si="188"/>
        <v>0</v>
      </c>
      <c r="O76" s="1">
        <f t="shared" si="171"/>
        <v>44</v>
      </c>
      <c r="P76" s="1">
        <f t="shared" si="172"/>
        <v>48</v>
      </c>
      <c r="Q76" s="1">
        <f t="shared" si="140"/>
        <v>0</v>
      </c>
      <c r="R76" s="1">
        <f t="shared" si="141"/>
        <v>0</v>
      </c>
      <c r="S76" s="1">
        <f t="shared" si="173"/>
        <v>33</v>
      </c>
      <c r="T76" s="1">
        <f t="shared" si="142"/>
        <v>0</v>
      </c>
      <c r="U76" s="10">
        <f t="shared" si="174"/>
        <v>125</v>
      </c>
      <c r="W76">
        <f t="shared" si="175"/>
        <v>24</v>
      </c>
      <c r="X76">
        <f t="shared" si="176"/>
        <v>101</v>
      </c>
      <c r="Y76" s="6">
        <f t="shared" si="144"/>
        <v>0</v>
      </c>
      <c r="Z76" s="6">
        <f t="shared" si="145"/>
        <v>10.777777777777779</v>
      </c>
      <c r="AA76" s="6">
        <f t="shared" si="146"/>
        <v>12</v>
      </c>
      <c r="AB76" s="6">
        <f t="shared" si="147"/>
        <v>2</v>
      </c>
      <c r="AC76" s="6">
        <f t="shared" si="148"/>
        <v>2</v>
      </c>
      <c r="AD76" s="6">
        <f t="shared" si="149"/>
        <v>10</v>
      </c>
      <c r="AE76" s="6">
        <v>17</v>
      </c>
      <c r="AF76" s="8">
        <f t="shared" ref="AF76:AF77" si="189">(8670+1900+1315)*1.047</f>
        <v>12443.594999999999</v>
      </c>
      <c r="AG76" s="1">
        <f t="shared" si="150"/>
        <v>0</v>
      </c>
      <c r="AH76" s="1">
        <f t="shared" si="151"/>
        <v>44</v>
      </c>
      <c r="AI76" s="1">
        <f t="shared" si="152"/>
        <v>48</v>
      </c>
      <c r="AJ76" s="1">
        <f t="shared" si="153"/>
        <v>0</v>
      </c>
      <c r="AK76" s="1">
        <f t="shared" si="154"/>
        <v>0</v>
      </c>
      <c r="AL76" s="1">
        <f t="shared" si="155"/>
        <v>33</v>
      </c>
      <c r="AM76" s="1">
        <f t="shared" si="156"/>
        <v>25</v>
      </c>
      <c r="AN76" s="10">
        <f t="shared" si="177"/>
        <v>150</v>
      </c>
      <c r="AQ76">
        <f>AQ75-112</f>
        <v>63</v>
      </c>
    </row>
    <row r="77" spans="1:43" x14ac:dyDescent="0.25">
      <c r="A77" t="s">
        <v>31</v>
      </c>
      <c r="B77" s="4" t="str">
        <f t="shared" si="165"/>
        <v>Inner</v>
      </c>
      <c r="C77" s="5" t="str">
        <f t="shared" si="165"/>
        <v>CAB</v>
      </c>
      <c r="D77" s="5">
        <f t="shared" ref="D77:F77" si="190">W59</f>
        <v>23</v>
      </c>
      <c r="E77" s="5">
        <f t="shared" si="190"/>
        <v>38</v>
      </c>
      <c r="F77" s="6">
        <f t="shared" si="190"/>
        <v>0</v>
      </c>
      <c r="G77" s="6">
        <f t="shared" si="167"/>
        <v>10.777777777777779</v>
      </c>
      <c r="H77" s="6">
        <f t="shared" si="168"/>
        <v>12</v>
      </c>
      <c r="I77" s="6">
        <f t="shared" si="137"/>
        <v>2</v>
      </c>
      <c r="J77" s="6">
        <f t="shared" si="138"/>
        <v>2</v>
      </c>
      <c r="K77" s="6">
        <f t="shared" si="169"/>
        <v>10</v>
      </c>
      <c r="L77" s="6">
        <f t="shared" si="139"/>
        <v>2</v>
      </c>
      <c r="M77" s="8">
        <f t="shared" ref="M77:N77" si="191">AF59</f>
        <v>11980.08</v>
      </c>
      <c r="N77" s="1">
        <f t="shared" si="191"/>
        <v>0</v>
      </c>
      <c r="O77" s="1">
        <f t="shared" si="171"/>
        <v>44</v>
      </c>
      <c r="P77" s="1">
        <f t="shared" si="172"/>
        <v>48</v>
      </c>
      <c r="Q77" s="1">
        <f t="shared" si="140"/>
        <v>0</v>
      </c>
      <c r="R77" s="1">
        <f t="shared" si="141"/>
        <v>0</v>
      </c>
      <c r="S77" s="1">
        <f t="shared" si="173"/>
        <v>33</v>
      </c>
      <c r="T77" s="1">
        <f t="shared" si="142"/>
        <v>0</v>
      </c>
      <c r="U77" s="10">
        <f t="shared" si="174"/>
        <v>125</v>
      </c>
      <c r="W77">
        <f t="shared" si="175"/>
        <v>24</v>
      </c>
      <c r="X77">
        <f t="shared" si="176"/>
        <v>101</v>
      </c>
      <c r="Y77" s="6">
        <f t="shared" si="144"/>
        <v>0</v>
      </c>
      <c r="Z77" s="6">
        <f t="shared" si="145"/>
        <v>10.777777777777779</v>
      </c>
      <c r="AA77" s="6">
        <f t="shared" si="146"/>
        <v>12</v>
      </c>
      <c r="AB77" s="6">
        <f t="shared" si="147"/>
        <v>2</v>
      </c>
      <c r="AC77" s="6">
        <f t="shared" si="148"/>
        <v>2</v>
      </c>
      <c r="AD77" s="6">
        <f t="shared" si="149"/>
        <v>10</v>
      </c>
      <c r="AE77" s="6">
        <v>17</v>
      </c>
      <c r="AF77" s="8">
        <f t="shared" si="189"/>
        <v>12443.594999999999</v>
      </c>
      <c r="AG77" s="1">
        <f t="shared" si="150"/>
        <v>0</v>
      </c>
      <c r="AH77" s="1">
        <f t="shared" si="151"/>
        <v>44</v>
      </c>
      <c r="AI77" s="1">
        <f t="shared" si="152"/>
        <v>48</v>
      </c>
      <c r="AJ77" s="1">
        <f t="shared" si="153"/>
        <v>0</v>
      </c>
      <c r="AK77" s="1">
        <f t="shared" si="154"/>
        <v>0</v>
      </c>
      <c r="AL77" s="1">
        <f t="shared" si="155"/>
        <v>33</v>
      </c>
      <c r="AM77" s="1">
        <f t="shared" si="156"/>
        <v>25</v>
      </c>
      <c r="AN77" s="10">
        <f t="shared" si="177"/>
        <v>150</v>
      </c>
    </row>
    <row r="78" spans="1:43" x14ac:dyDescent="0.25">
      <c r="A78" t="s">
        <v>33</v>
      </c>
      <c r="B78" s="4" t="str">
        <f t="shared" si="165"/>
        <v>E. Cubas</v>
      </c>
      <c r="C78" s="5" t="str">
        <f t="shared" si="165"/>
        <v>RAP</v>
      </c>
      <c r="D78" s="5">
        <f t="shared" ref="D78:F78" si="192">W60</f>
        <v>23</v>
      </c>
      <c r="E78" s="5">
        <f t="shared" si="192"/>
        <v>53.5</v>
      </c>
      <c r="F78" s="6">
        <f t="shared" si="192"/>
        <v>0</v>
      </c>
      <c r="G78" s="6">
        <f t="shared" si="167"/>
        <v>8.3333333333333339</v>
      </c>
      <c r="H78" s="6">
        <f t="shared" si="168"/>
        <v>9</v>
      </c>
      <c r="I78" s="6">
        <f t="shared" si="137"/>
        <v>9.5</v>
      </c>
      <c r="J78" s="6">
        <f t="shared" si="138"/>
        <v>8.6</v>
      </c>
      <c r="K78" s="6">
        <f t="shared" si="169"/>
        <v>10.285714285714286</v>
      </c>
      <c r="L78" s="6">
        <f t="shared" si="139"/>
        <v>2</v>
      </c>
      <c r="M78" s="8">
        <f t="shared" ref="M78:N78" si="193">AF60</f>
        <v>4999.68</v>
      </c>
      <c r="N78" s="1">
        <f t="shared" si="193"/>
        <v>0</v>
      </c>
      <c r="O78" s="1">
        <f t="shared" si="171"/>
        <v>26</v>
      </c>
      <c r="P78" s="1">
        <f t="shared" si="172"/>
        <v>26</v>
      </c>
      <c r="Q78" s="1">
        <f t="shared" si="140"/>
        <v>20.5</v>
      </c>
      <c r="R78" s="1">
        <f t="shared" si="141"/>
        <v>21</v>
      </c>
      <c r="S78" s="1">
        <f t="shared" si="173"/>
        <v>35</v>
      </c>
      <c r="T78" s="1">
        <f t="shared" si="142"/>
        <v>0</v>
      </c>
      <c r="U78" s="10">
        <f t="shared" si="174"/>
        <v>128.5</v>
      </c>
      <c r="W78">
        <v>25</v>
      </c>
      <c r="X78">
        <v>5</v>
      </c>
      <c r="Y78" s="6">
        <f t="shared" si="144"/>
        <v>0</v>
      </c>
      <c r="Z78" s="6">
        <f t="shared" si="145"/>
        <v>8.3333333333333339</v>
      </c>
      <c r="AA78" s="6">
        <f t="shared" si="146"/>
        <v>9</v>
      </c>
      <c r="AB78" s="6">
        <f t="shared" si="147"/>
        <v>9.5</v>
      </c>
      <c r="AC78" s="6">
        <f t="shared" si="148"/>
        <v>8.6</v>
      </c>
      <c r="AD78" s="6">
        <f t="shared" si="149"/>
        <v>10.285714285714286</v>
      </c>
      <c r="AE78" s="6">
        <v>17</v>
      </c>
      <c r="AF78" s="8">
        <f>(2900+140+620+785+515)*1.047</f>
        <v>5193.12</v>
      </c>
      <c r="AG78" s="1">
        <f t="shared" si="150"/>
        <v>0</v>
      </c>
      <c r="AH78" s="1">
        <f t="shared" si="151"/>
        <v>26</v>
      </c>
      <c r="AI78" s="1">
        <f t="shared" si="152"/>
        <v>26</v>
      </c>
      <c r="AJ78" s="1">
        <f t="shared" si="153"/>
        <v>20.5</v>
      </c>
      <c r="AK78" s="1">
        <f t="shared" si="154"/>
        <v>21</v>
      </c>
      <c r="AL78" s="1">
        <f t="shared" si="155"/>
        <v>35</v>
      </c>
      <c r="AM78" s="1">
        <f t="shared" si="156"/>
        <v>25</v>
      </c>
      <c r="AN78" s="10">
        <f t="shared" si="177"/>
        <v>153.5</v>
      </c>
    </row>
    <row r="79" spans="1:43" x14ac:dyDescent="0.25">
      <c r="A79" t="s">
        <v>34</v>
      </c>
      <c r="B79" s="4" t="str">
        <f t="shared" si="165"/>
        <v>V. Gomis</v>
      </c>
      <c r="C79" s="5" t="str">
        <f t="shared" si="165"/>
        <v>IMP</v>
      </c>
      <c r="D79" s="5">
        <f t="shared" ref="D79:F79" si="194">W61</f>
        <v>23</v>
      </c>
      <c r="E79" s="5">
        <f t="shared" si="194"/>
        <v>57.5</v>
      </c>
      <c r="F79" s="6">
        <f t="shared" si="194"/>
        <v>0</v>
      </c>
      <c r="G79" s="6">
        <f t="shared" si="167"/>
        <v>10.333333333333334</v>
      </c>
      <c r="H79" s="6">
        <f t="shared" si="168"/>
        <v>7.5</v>
      </c>
      <c r="I79" s="6">
        <f t="shared" si="137"/>
        <v>8</v>
      </c>
      <c r="J79" s="6">
        <f t="shared" si="138"/>
        <v>8.6</v>
      </c>
      <c r="K79" s="6">
        <f t="shared" si="169"/>
        <v>10</v>
      </c>
      <c r="L79" s="6">
        <f t="shared" si="139"/>
        <v>0</v>
      </c>
      <c r="M79" s="8">
        <f t="shared" ref="M79:N79" si="195">AF61</f>
        <v>4660</v>
      </c>
      <c r="N79" s="1">
        <f t="shared" si="195"/>
        <v>0</v>
      </c>
      <c r="O79" s="1">
        <f t="shared" si="171"/>
        <v>40</v>
      </c>
      <c r="P79" s="1">
        <f t="shared" si="172"/>
        <v>18</v>
      </c>
      <c r="Q79" s="1">
        <f t="shared" si="140"/>
        <v>15</v>
      </c>
      <c r="R79" s="1">
        <f t="shared" si="141"/>
        <v>21</v>
      </c>
      <c r="S79" s="1">
        <f t="shared" si="173"/>
        <v>33</v>
      </c>
      <c r="T79" s="1">
        <f t="shared" si="142"/>
        <v>-2</v>
      </c>
      <c r="U79" s="10">
        <f>SUM(N79:T79)</f>
        <v>125</v>
      </c>
      <c r="W79">
        <v>25</v>
      </c>
      <c r="X79">
        <v>9</v>
      </c>
      <c r="Y79" s="6">
        <f t="shared" si="144"/>
        <v>0</v>
      </c>
      <c r="Z79" s="6">
        <f t="shared" si="145"/>
        <v>10.333333333333334</v>
      </c>
      <c r="AA79" s="6">
        <f t="shared" si="146"/>
        <v>7.5</v>
      </c>
      <c r="AB79" s="6">
        <f t="shared" si="147"/>
        <v>8</v>
      </c>
      <c r="AC79" s="6">
        <f t="shared" si="148"/>
        <v>8.6</v>
      </c>
      <c r="AD79" s="6">
        <f t="shared" si="149"/>
        <v>10</v>
      </c>
      <c r="AE79" s="6">
        <f>16+2/4</f>
        <v>16.5</v>
      </c>
      <c r="AF79" s="8">
        <f>(2600+1315+140+275+330)*1.047</f>
        <v>4879.0199999999995</v>
      </c>
      <c r="AG79" s="1">
        <f t="shared" si="150"/>
        <v>0</v>
      </c>
      <c r="AH79" s="1">
        <f t="shared" si="151"/>
        <v>40</v>
      </c>
      <c r="AI79" s="1">
        <f t="shared" si="152"/>
        <v>18</v>
      </c>
      <c r="AJ79" s="1">
        <f t="shared" si="153"/>
        <v>15</v>
      </c>
      <c r="AK79" s="1">
        <f t="shared" si="154"/>
        <v>21</v>
      </c>
      <c r="AL79" s="1">
        <f t="shared" si="155"/>
        <v>33</v>
      </c>
      <c r="AM79" s="1">
        <f t="shared" si="156"/>
        <v>23</v>
      </c>
      <c r="AN79" s="10">
        <f>SUM(AG79:AM79)</f>
        <v>150</v>
      </c>
    </row>
    <row r="80" spans="1:43" x14ac:dyDescent="0.25">
      <c r="A80" t="s">
        <v>35</v>
      </c>
      <c r="B80" s="4" t="str">
        <f t="shared" si="165"/>
        <v>J.G. Peñuela</v>
      </c>
      <c r="C80" s="5" t="str">
        <f t="shared" si="165"/>
        <v>IMP</v>
      </c>
      <c r="D80" s="5">
        <f t="shared" ref="D80:F80" si="196">W62</f>
        <v>23</v>
      </c>
      <c r="E80" s="5">
        <f t="shared" si="196"/>
        <v>53.5</v>
      </c>
      <c r="F80" s="6">
        <f t="shared" si="196"/>
        <v>0</v>
      </c>
      <c r="G80" s="6">
        <f t="shared" si="167"/>
        <v>8.8333333333333339</v>
      </c>
      <c r="H80" s="6">
        <f t="shared" si="168"/>
        <v>8.6</v>
      </c>
      <c r="I80" s="6">
        <f t="shared" si="137"/>
        <v>8.8333333333333339</v>
      </c>
      <c r="J80" s="6">
        <f t="shared" si="138"/>
        <v>8</v>
      </c>
      <c r="K80" s="6">
        <f t="shared" si="169"/>
        <v>10.285714285714286</v>
      </c>
      <c r="L80" s="6">
        <f t="shared" si="139"/>
        <v>0</v>
      </c>
      <c r="M80" s="8">
        <f t="shared" ref="M80:N80" si="197">AF62</f>
        <v>4700</v>
      </c>
      <c r="N80" s="1">
        <f t="shared" si="197"/>
        <v>0</v>
      </c>
      <c r="O80" s="1">
        <f t="shared" si="171"/>
        <v>29</v>
      </c>
      <c r="P80" s="1">
        <f t="shared" si="172"/>
        <v>24</v>
      </c>
      <c r="Q80" s="1">
        <f t="shared" si="140"/>
        <v>17.5</v>
      </c>
      <c r="R80" s="1">
        <f t="shared" si="141"/>
        <v>18</v>
      </c>
      <c r="S80" s="1">
        <f t="shared" si="173"/>
        <v>35</v>
      </c>
      <c r="T80" s="1">
        <f t="shared" si="142"/>
        <v>-2</v>
      </c>
      <c r="U80" s="10">
        <f>SUM(N80:T80)</f>
        <v>121.5</v>
      </c>
      <c r="W80">
        <v>25</v>
      </c>
      <c r="X80">
        <v>5</v>
      </c>
      <c r="Y80" s="6">
        <f t="shared" si="144"/>
        <v>0</v>
      </c>
      <c r="Z80" s="6">
        <f t="shared" si="145"/>
        <v>8.8333333333333339</v>
      </c>
      <c r="AA80" s="6">
        <f t="shared" si="146"/>
        <v>8.6</v>
      </c>
      <c r="AB80" s="6">
        <f t="shared" si="147"/>
        <v>8.8333333333333339</v>
      </c>
      <c r="AC80" s="6">
        <f t="shared" si="148"/>
        <v>8</v>
      </c>
      <c r="AD80" s="6">
        <f t="shared" si="149"/>
        <v>10.285714285714286</v>
      </c>
      <c r="AE80" s="6">
        <f>AE79</f>
        <v>16.5</v>
      </c>
      <c r="AF80" s="8">
        <f>(2900+135+430+615+620)*1.047</f>
        <v>4920.8999999999996</v>
      </c>
      <c r="AG80" s="1">
        <f t="shared" si="150"/>
        <v>0</v>
      </c>
      <c r="AH80" s="1">
        <f t="shared" si="151"/>
        <v>29</v>
      </c>
      <c r="AI80" s="1">
        <f t="shared" si="152"/>
        <v>24</v>
      </c>
      <c r="AJ80" s="1">
        <f t="shared" si="153"/>
        <v>17.5</v>
      </c>
      <c r="AK80" s="1">
        <f t="shared" si="154"/>
        <v>18</v>
      </c>
      <c r="AL80" s="1">
        <f t="shared" si="155"/>
        <v>35</v>
      </c>
      <c r="AM80" s="1">
        <f t="shared" si="156"/>
        <v>23</v>
      </c>
      <c r="AN80" s="10">
        <f>SUM(AG80:AM80)</f>
        <v>146.5</v>
      </c>
    </row>
    <row r="81" spans="1:40" x14ac:dyDescent="0.25">
      <c r="A81" t="s">
        <v>37</v>
      </c>
      <c r="B81" s="4" t="s">
        <v>142</v>
      </c>
      <c r="C81" s="5" t="s">
        <v>50</v>
      </c>
      <c r="D81" s="5">
        <v>22</v>
      </c>
      <c r="E81" s="5">
        <v>50</v>
      </c>
      <c r="F81" s="6">
        <f t="shared" ref="D81:F81" si="198">Y63</f>
        <v>0</v>
      </c>
      <c r="G81" s="6">
        <f t="shared" si="167"/>
        <v>2</v>
      </c>
      <c r="H81" s="6">
        <v>12</v>
      </c>
      <c r="I81" s="6">
        <f t="shared" si="137"/>
        <v>2</v>
      </c>
      <c r="J81" s="6">
        <f t="shared" si="138"/>
        <v>2</v>
      </c>
      <c r="K81" s="6">
        <v>10</v>
      </c>
      <c r="L81" s="6">
        <v>7</v>
      </c>
      <c r="M81" s="8">
        <f>(8670+1315)*1.02</f>
        <v>10184.700000000001</v>
      </c>
      <c r="N81" s="1">
        <f t="shared" ref="M81:N81" si="199">AG63</f>
        <v>0</v>
      </c>
      <c r="O81" s="1">
        <f t="shared" si="171"/>
        <v>0</v>
      </c>
      <c r="P81" s="1">
        <v>48</v>
      </c>
      <c r="Q81" s="1">
        <f t="shared" si="140"/>
        <v>0</v>
      </c>
      <c r="R81" s="1">
        <f t="shared" si="141"/>
        <v>0</v>
      </c>
      <c r="S81" s="1">
        <v>33</v>
      </c>
      <c r="T81" s="1">
        <v>5</v>
      </c>
      <c r="U81" s="10">
        <f t="shared" ref="U81:U82" si="200">SUM(N81:T81)</f>
        <v>86</v>
      </c>
      <c r="W81">
        <v>24</v>
      </c>
      <c r="X81">
        <v>1</v>
      </c>
      <c r="Y81" s="6">
        <f t="shared" si="144"/>
        <v>0</v>
      </c>
      <c r="Z81" s="6">
        <f t="shared" si="145"/>
        <v>2</v>
      </c>
      <c r="AA81" s="6">
        <f t="shared" si="146"/>
        <v>12</v>
      </c>
      <c r="AB81" s="6">
        <f t="shared" si="147"/>
        <v>2</v>
      </c>
      <c r="AC81" s="6">
        <f t="shared" si="148"/>
        <v>2</v>
      </c>
      <c r="AD81" s="6">
        <f t="shared" si="149"/>
        <v>10</v>
      </c>
      <c r="AE81" s="6">
        <f>AE67</f>
        <v>18.25</v>
      </c>
      <c r="AF81" s="8">
        <f>(8670+1315)*1.055</f>
        <v>10534.174999999999</v>
      </c>
      <c r="AG81" s="1">
        <f t="shared" si="150"/>
        <v>0</v>
      </c>
      <c r="AH81" s="1">
        <f t="shared" si="151"/>
        <v>0</v>
      </c>
      <c r="AI81" s="1">
        <f t="shared" si="152"/>
        <v>48</v>
      </c>
      <c r="AJ81" s="1">
        <f t="shared" si="153"/>
        <v>0</v>
      </c>
      <c r="AK81" s="1">
        <f t="shared" si="154"/>
        <v>0</v>
      </c>
      <c r="AL81" s="1">
        <f t="shared" si="155"/>
        <v>33</v>
      </c>
      <c r="AM81" s="1">
        <f t="shared" si="156"/>
        <v>30</v>
      </c>
      <c r="AN81" s="10">
        <f t="shared" ref="AN81:AN82" si="201">SUM(AG81:AM81)</f>
        <v>111</v>
      </c>
    </row>
    <row r="82" spans="1:40" x14ac:dyDescent="0.25">
      <c r="A82" t="s">
        <v>121</v>
      </c>
      <c r="B82" s="4" t="s">
        <v>142</v>
      </c>
      <c r="C82" s="5" t="s">
        <v>73</v>
      </c>
      <c r="D82" s="5">
        <v>22</v>
      </c>
      <c r="E82" s="5">
        <v>50</v>
      </c>
      <c r="F82" s="6">
        <f t="shared" ref="D82:F82" si="202">Y64</f>
        <v>0</v>
      </c>
      <c r="G82" s="6">
        <f t="shared" si="167"/>
        <v>2</v>
      </c>
      <c r="H82" s="6">
        <v>12</v>
      </c>
      <c r="I82" s="6">
        <f t="shared" si="137"/>
        <v>2</v>
      </c>
      <c r="J82" s="6">
        <f t="shared" si="138"/>
        <v>2</v>
      </c>
      <c r="K82" s="6">
        <v>10</v>
      </c>
      <c r="L82" s="6">
        <v>7</v>
      </c>
      <c r="M82" s="8">
        <f>(8670+1315)*1.02</f>
        <v>10184.700000000001</v>
      </c>
      <c r="N82" s="1">
        <f t="shared" ref="M82:N82" si="203">AG64</f>
        <v>0</v>
      </c>
      <c r="O82" s="1">
        <f t="shared" si="171"/>
        <v>0</v>
      </c>
      <c r="P82" s="1">
        <v>48</v>
      </c>
      <c r="Q82" s="1">
        <f t="shared" si="140"/>
        <v>0</v>
      </c>
      <c r="R82" s="1">
        <f t="shared" si="141"/>
        <v>0</v>
      </c>
      <c r="S82" s="1">
        <v>33</v>
      </c>
      <c r="T82" s="1">
        <v>5</v>
      </c>
      <c r="U82" s="10">
        <f t="shared" si="200"/>
        <v>86</v>
      </c>
      <c r="W82">
        <v>24</v>
      </c>
      <c r="X82">
        <v>1</v>
      </c>
      <c r="Y82" s="6">
        <f t="shared" si="144"/>
        <v>0</v>
      </c>
      <c r="Z82" s="6">
        <f t="shared" si="145"/>
        <v>2</v>
      </c>
      <c r="AA82" s="6">
        <f t="shared" si="146"/>
        <v>12</v>
      </c>
      <c r="AB82" s="6">
        <f t="shared" si="147"/>
        <v>2</v>
      </c>
      <c r="AC82" s="6">
        <f t="shared" si="148"/>
        <v>2</v>
      </c>
      <c r="AD82" s="6">
        <f t="shared" si="149"/>
        <v>10</v>
      </c>
      <c r="AE82" s="6">
        <f>AE81</f>
        <v>18.25</v>
      </c>
      <c r="AF82" s="8">
        <f>(8670+1315)*1.055</f>
        <v>10534.174999999999</v>
      </c>
      <c r="AG82" s="1">
        <f t="shared" si="150"/>
        <v>0</v>
      </c>
      <c r="AH82" s="1">
        <f t="shared" si="151"/>
        <v>0</v>
      </c>
      <c r="AI82" s="1">
        <f t="shared" si="152"/>
        <v>48</v>
      </c>
      <c r="AJ82" s="1">
        <f t="shared" si="153"/>
        <v>0</v>
      </c>
      <c r="AK82" s="1">
        <f t="shared" si="154"/>
        <v>0</v>
      </c>
      <c r="AL82" s="1">
        <f t="shared" si="155"/>
        <v>33</v>
      </c>
      <c r="AM82" s="1">
        <f t="shared" si="156"/>
        <v>30</v>
      </c>
      <c r="AN82" s="10">
        <f t="shared" si="201"/>
        <v>111</v>
      </c>
    </row>
    <row r="83" spans="1:40" x14ac:dyDescent="0.25">
      <c r="M83" s="28"/>
    </row>
    <row r="84" spans="1:40" x14ac:dyDescent="0.25">
      <c r="M84" s="28"/>
    </row>
    <row r="85" spans="1:40" x14ac:dyDescent="0.25">
      <c r="M85" s="28"/>
    </row>
    <row r="86" spans="1:40" x14ac:dyDescent="0.25">
      <c r="M86" s="28"/>
    </row>
    <row r="87" spans="1:40" x14ac:dyDescent="0.25">
      <c r="M87" s="28"/>
    </row>
    <row r="88" spans="1:40" x14ac:dyDescent="0.25">
      <c r="M88" s="28"/>
    </row>
    <row r="89" spans="1:40" x14ac:dyDescent="0.25">
      <c r="M89" s="28"/>
    </row>
    <row r="90" spans="1:40" x14ac:dyDescent="0.25">
      <c r="M90" s="28"/>
    </row>
    <row r="91" spans="1:40" x14ac:dyDescent="0.25">
      <c r="M91" s="28"/>
    </row>
    <row r="92" spans="1:40" x14ac:dyDescent="0.25">
      <c r="M92" s="28"/>
    </row>
    <row r="93" spans="1:40" x14ac:dyDescent="0.25">
      <c r="M93" s="28"/>
    </row>
    <row r="94" spans="1:40" x14ac:dyDescent="0.25">
      <c r="M94" s="28"/>
    </row>
    <row r="95" spans="1:40" x14ac:dyDescent="0.25">
      <c r="M95" s="28"/>
    </row>
    <row r="96" spans="1:40" x14ac:dyDescent="0.25">
      <c r="R96" s="28"/>
    </row>
    <row r="97" spans="18:18" x14ac:dyDescent="0.25">
      <c r="R97" s="28"/>
    </row>
    <row r="98" spans="18:18" x14ac:dyDescent="0.25">
      <c r="R98" s="28"/>
    </row>
    <row r="99" spans="18:18" x14ac:dyDescent="0.25">
      <c r="R99" s="28"/>
    </row>
    <row r="100" spans="18:18" x14ac:dyDescent="0.25">
      <c r="R100" s="28"/>
    </row>
    <row r="101" spans="18:18" x14ac:dyDescent="0.25">
      <c r="R101" s="28"/>
    </row>
    <row r="102" spans="18:18" x14ac:dyDescent="0.25">
      <c r="R102" s="28"/>
    </row>
    <row r="103" spans="18:18" x14ac:dyDescent="0.25">
      <c r="R103" s="28"/>
    </row>
    <row r="104" spans="18:18" x14ac:dyDescent="0.25">
      <c r="R104" s="28"/>
    </row>
    <row r="105" spans="18:18" x14ac:dyDescent="0.25">
      <c r="R105" s="28"/>
    </row>
    <row r="106" spans="18:18" x14ac:dyDescent="0.25">
      <c r="R106" s="28"/>
    </row>
    <row r="107" spans="18:18" x14ac:dyDescent="0.25">
      <c r="R107" s="28"/>
    </row>
    <row r="108" spans="18:18" x14ac:dyDescent="0.25">
      <c r="R108" s="28"/>
    </row>
    <row r="109" spans="18:18" x14ac:dyDescent="0.25">
      <c r="R109" s="28"/>
    </row>
    <row r="110" spans="18:18" x14ac:dyDescent="0.25">
      <c r="R110" s="28"/>
    </row>
    <row r="111" spans="18:18" x14ac:dyDescent="0.25">
      <c r="R111" s="28"/>
    </row>
    <row r="112" spans="18:18" x14ac:dyDescent="0.25">
      <c r="R112" s="28"/>
    </row>
    <row r="113" spans="18:18" x14ac:dyDescent="0.25">
      <c r="R113" s="28"/>
    </row>
    <row r="114" spans="18:18" x14ac:dyDescent="0.25">
      <c r="R114" s="28"/>
    </row>
    <row r="115" spans="18:18" x14ac:dyDescent="0.25">
      <c r="R115" s="28"/>
    </row>
    <row r="116" spans="18:18" x14ac:dyDescent="0.25">
      <c r="R116" s="28"/>
    </row>
    <row r="117" spans="18:18" x14ac:dyDescent="0.25">
      <c r="R117" s="28"/>
    </row>
    <row r="118" spans="18:18" x14ac:dyDescent="0.25">
      <c r="R118" s="28"/>
    </row>
    <row r="119" spans="18:18" x14ac:dyDescent="0.25">
      <c r="R119" s="28"/>
    </row>
    <row r="120" spans="18:18" x14ac:dyDescent="0.25">
      <c r="R120" s="28"/>
    </row>
    <row r="121" spans="18:18" x14ac:dyDescent="0.25">
      <c r="R121" s="28"/>
    </row>
    <row r="122" spans="18:18" x14ac:dyDescent="0.25">
      <c r="R122" s="28"/>
    </row>
    <row r="123" spans="18:18" x14ac:dyDescent="0.25">
      <c r="R123" s="28"/>
    </row>
    <row r="124" spans="18:18" x14ac:dyDescent="0.25">
      <c r="R124" s="28"/>
    </row>
    <row r="125" spans="18:18" x14ac:dyDescent="0.25">
      <c r="R125" s="28"/>
    </row>
    <row r="126" spans="18:18" x14ac:dyDescent="0.25">
      <c r="R126" s="28"/>
    </row>
    <row r="127" spans="18:18" x14ac:dyDescent="0.25">
      <c r="R127" s="28"/>
    </row>
    <row r="128" spans="18:18" x14ac:dyDescent="0.25">
      <c r="R128" s="28"/>
    </row>
    <row r="129" spans="18:18" x14ac:dyDescent="0.25">
      <c r="R129" s="28"/>
    </row>
  </sheetData>
  <conditionalFormatting sqref="N13:T28">
    <cfRule type="colorScale" priority="24">
      <colorScale>
        <cfvo type="min"/>
        <cfvo type="max"/>
        <color rgb="FFFCFCFF"/>
        <color rgb="FF63BE7B"/>
      </colorScale>
    </cfRule>
  </conditionalFormatting>
  <conditionalFormatting sqref="F13:L28">
    <cfRule type="colorScale" priority="23">
      <colorScale>
        <cfvo type="min"/>
        <cfvo type="max"/>
        <color rgb="FFFFEF9C"/>
        <color rgb="FF63BE7B"/>
      </colorScale>
    </cfRule>
  </conditionalFormatting>
  <conditionalFormatting sqref="M13:M28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{1A6595AA-A48E-4A22-BBD8-BE8FB8CCB947}</x14:id>
        </ext>
      </extLst>
    </cfRule>
  </conditionalFormatting>
  <conditionalFormatting sqref="AG13:AM28">
    <cfRule type="colorScale" priority="21">
      <colorScale>
        <cfvo type="min"/>
        <cfvo type="max"/>
        <color rgb="FFFCFCFF"/>
        <color rgb="FF63BE7B"/>
      </colorScale>
    </cfRule>
  </conditionalFormatting>
  <conditionalFormatting sqref="Y13:AE28">
    <cfRule type="colorScale" priority="20">
      <colorScale>
        <cfvo type="min"/>
        <cfvo type="max"/>
        <color rgb="FFFFEF9C"/>
        <color rgb="FF63BE7B"/>
      </colorScale>
    </cfRule>
  </conditionalFormatting>
  <conditionalFormatting sqref="AF13:AF28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{CF0526C4-6BD1-4445-A0C8-E143E036F7C1}</x14:id>
        </ext>
      </extLst>
    </cfRule>
  </conditionalFormatting>
  <conditionalFormatting sqref="N31:T46">
    <cfRule type="colorScale" priority="18">
      <colorScale>
        <cfvo type="min"/>
        <cfvo type="max"/>
        <color rgb="FFFCFCFF"/>
        <color rgb="FF63BE7B"/>
      </colorScale>
    </cfRule>
  </conditionalFormatting>
  <conditionalFormatting sqref="F31:L46">
    <cfRule type="colorScale" priority="17">
      <colorScale>
        <cfvo type="min"/>
        <cfvo type="max"/>
        <color rgb="FFFFEF9C"/>
        <color rgb="FF63BE7B"/>
      </colorScale>
    </cfRule>
  </conditionalFormatting>
  <conditionalFormatting sqref="M31:M46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{2B0F1A78-EE02-4B69-A47E-E989F0045865}</x14:id>
        </ext>
      </extLst>
    </cfRule>
  </conditionalFormatting>
  <conditionalFormatting sqref="AG31:AM46">
    <cfRule type="colorScale" priority="15">
      <colorScale>
        <cfvo type="min"/>
        <cfvo type="max"/>
        <color rgb="FFFCFCFF"/>
        <color rgb="FF63BE7B"/>
      </colorScale>
    </cfRule>
  </conditionalFormatting>
  <conditionalFormatting sqref="Y31:AE46">
    <cfRule type="colorScale" priority="14">
      <colorScale>
        <cfvo type="min"/>
        <cfvo type="max"/>
        <color rgb="FFFFEF9C"/>
        <color rgb="FF63BE7B"/>
      </colorScale>
    </cfRule>
  </conditionalFormatting>
  <conditionalFormatting sqref="AF31:AF46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{59B78D11-A47D-4A54-8705-B2D0F6578B94}</x14:id>
        </ext>
      </extLst>
    </cfRule>
  </conditionalFormatting>
  <conditionalFormatting sqref="N49:T64">
    <cfRule type="colorScale" priority="12">
      <colorScale>
        <cfvo type="min"/>
        <cfvo type="max"/>
        <color rgb="FFFCFCFF"/>
        <color rgb="FF63BE7B"/>
      </colorScale>
    </cfRule>
  </conditionalFormatting>
  <conditionalFormatting sqref="F49:L64">
    <cfRule type="colorScale" priority="11">
      <colorScale>
        <cfvo type="min"/>
        <cfvo type="max"/>
        <color rgb="FFFFEF9C"/>
        <color rgb="FF63BE7B"/>
      </colorScale>
    </cfRule>
  </conditionalFormatting>
  <conditionalFormatting sqref="M49:M64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{08132A67-C1F6-4036-8D58-AAE0CBF17585}</x14:id>
        </ext>
      </extLst>
    </cfRule>
  </conditionalFormatting>
  <conditionalFormatting sqref="AG49:AM64">
    <cfRule type="colorScale" priority="9">
      <colorScale>
        <cfvo type="min"/>
        <cfvo type="max"/>
        <color rgb="FFFCFCFF"/>
        <color rgb="FF63BE7B"/>
      </colorScale>
    </cfRule>
  </conditionalFormatting>
  <conditionalFormatting sqref="Y49:AE64">
    <cfRule type="colorScale" priority="8">
      <colorScale>
        <cfvo type="min"/>
        <cfvo type="max"/>
        <color rgb="FFFFEF9C"/>
        <color rgb="FF63BE7B"/>
      </colorScale>
    </cfRule>
  </conditionalFormatting>
  <conditionalFormatting sqref="AF49:AF64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{D4BF39E3-B1B5-4F07-8EEB-86AF700317EA}</x14:id>
        </ext>
      </extLst>
    </cfRule>
  </conditionalFormatting>
  <conditionalFormatting sqref="N67:T82">
    <cfRule type="colorScale" priority="6">
      <colorScale>
        <cfvo type="min"/>
        <cfvo type="max"/>
        <color rgb="FFFCFCFF"/>
        <color rgb="FF63BE7B"/>
      </colorScale>
    </cfRule>
  </conditionalFormatting>
  <conditionalFormatting sqref="F67:L82">
    <cfRule type="colorScale" priority="5">
      <colorScale>
        <cfvo type="min"/>
        <cfvo type="max"/>
        <color rgb="FFFFEF9C"/>
        <color rgb="FF63BE7B"/>
      </colorScale>
    </cfRule>
  </conditionalFormatting>
  <conditionalFormatting sqref="M67:M8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{382FD6F1-9860-41DE-A934-F5C6D9AC3157}</x14:id>
        </ext>
      </extLst>
    </cfRule>
  </conditionalFormatting>
  <conditionalFormatting sqref="AG67:AM82">
    <cfRule type="colorScale" priority="3">
      <colorScale>
        <cfvo type="min"/>
        <cfvo type="max"/>
        <color rgb="FFFCFCFF"/>
        <color rgb="FF63BE7B"/>
      </colorScale>
    </cfRule>
  </conditionalFormatting>
  <conditionalFormatting sqref="Y67:AE82">
    <cfRule type="colorScale" priority="2">
      <colorScale>
        <cfvo type="min"/>
        <cfvo type="max"/>
        <color rgb="FFFFEF9C"/>
        <color rgb="FF63BE7B"/>
      </colorScale>
    </cfRule>
  </conditionalFormatting>
  <conditionalFormatting sqref="AF67:AF8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{E524A722-9C59-4DBD-97B8-BA260916152E}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6595AA-A48E-4A22-BBD8-BE8FB8CCB9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M13:M28</xm:sqref>
        </x14:conditionalFormatting>
        <x14:conditionalFormatting xmlns:xm="http://schemas.microsoft.com/office/excel/2006/main">
          <x14:cfRule type="dataBar" id="{CF0526C4-6BD1-4445-A0C8-E143E036F7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AF13:AF28</xm:sqref>
        </x14:conditionalFormatting>
        <x14:conditionalFormatting xmlns:xm="http://schemas.microsoft.com/office/excel/2006/main">
          <x14:cfRule type="dataBar" id="{2B0F1A78-EE02-4B69-A47E-E989F00458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M31:M46</xm:sqref>
        </x14:conditionalFormatting>
        <x14:conditionalFormatting xmlns:xm="http://schemas.microsoft.com/office/excel/2006/main">
          <x14:cfRule type="dataBar" id="{59B78D11-A47D-4A54-8705-B2D0F6578B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AF31:AF46</xm:sqref>
        </x14:conditionalFormatting>
        <x14:conditionalFormatting xmlns:xm="http://schemas.microsoft.com/office/excel/2006/main">
          <x14:cfRule type="dataBar" id="{08132A67-C1F6-4036-8D58-AAE0CBF1758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M49:M64</xm:sqref>
        </x14:conditionalFormatting>
        <x14:conditionalFormatting xmlns:xm="http://schemas.microsoft.com/office/excel/2006/main">
          <x14:cfRule type="dataBar" id="{D4BF39E3-B1B5-4F07-8EEB-86AF700317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AF49:AF64</xm:sqref>
        </x14:conditionalFormatting>
        <x14:conditionalFormatting xmlns:xm="http://schemas.microsoft.com/office/excel/2006/main">
          <x14:cfRule type="dataBar" id="{382FD6F1-9860-41DE-A934-F5C6D9AC31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M67:M82</xm:sqref>
        </x14:conditionalFormatting>
        <x14:conditionalFormatting xmlns:xm="http://schemas.microsoft.com/office/excel/2006/main">
          <x14:cfRule type="dataBar" id="{E524A722-9C59-4DBD-97B8-BA26091615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AF67:AF82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21"/>
  <sheetViews>
    <sheetView workbookViewId="0">
      <selection activeCell="J12" sqref="J12"/>
    </sheetView>
  </sheetViews>
  <sheetFormatPr baseColWidth="10" defaultRowHeight="15" x14ac:dyDescent="0.25"/>
  <cols>
    <col min="1" max="1" width="9.5703125" bestFit="1" customWidth="1"/>
    <col min="2" max="2" width="12.28515625" bestFit="1" customWidth="1"/>
    <col min="3" max="3" width="3.85546875" customWidth="1"/>
    <col min="4" max="4" width="12.28515625" bestFit="1" customWidth="1"/>
    <col min="5" max="5" width="2.7109375" customWidth="1"/>
    <col min="6" max="6" width="12.28515625" bestFit="1" customWidth="1"/>
    <col min="7" max="7" width="2.7109375" customWidth="1"/>
    <col min="8" max="8" width="12.28515625" bestFit="1" customWidth="1"/>
    <col min="9" max="9" width="2.7109375" customWidth="1"/>
    <col min="10" max="10" width="12.28515625" bestFit="1" customWidth="1"/>
  </cols>
  <sheetData>
    <row r="1" spans="1:10" x14ac:dyDescent="0.25">
      <c r="B1" s="10"/>
      <c r="C1" s="10"/>
      <c r="D1" s="10"/>
      <c r="E1" s="10"/>
      <c r="F1" s="10" t="s">
        <v>38</v>
      </c>
      <c r="G1" s="10"/>
      <c r="H1" s="10"/>
      <c r="I1" s="10"/>
      <c r="J1" s="10"/>
    </row>
    <row r="2" spans="1:10" x14ac:dyDescent="0.25">
      <c r="A2" t="s">
        <v>20</v>
      </c>
      <c r="B2" s="10"/>
      <c r="C2" s="10"/>
      <c r="D2" s="10"/>
      <c r="E2" s="10"/>
      <c r="F2" s="14" t="s">
        <v>39</v>
      </c>
      <c r="G2" s="10"/>
      <c r="H2" s="10"/>
      <c r="I2" s="10"/>
      <c r="J2" s="10"/>
    </row>
    <row r="3" spans="1:10" x14ac:dyDescent="0.25">
      <c r="A3" t="s">
        <v>40</v>
      </c>
      <c r="B3" s="10"/>
      <c r="C3" s="10"/>
      <c r="D3" s="10"/>
      <c r="E3" s="10"/>
      <c r="F3" s="15" t="s">
        <v>41</v>
      </c>
      <c r="G3" s="10"/>
      <c r="H3" s="10"/>
      <c r="I3" s="10"/>
      <c r="J3" s="10"/>
    </row>
    <row r="4" spans="1:10" x14ac:dyDescent="0.25"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B5" s="10" t="s">
        <v>43</v>
      </c>
      <c r="C5" s="10"/>
      <c r="D5" s="10" t="s">
        <v>44</v>
      </c>
      <c r="E5" s="10"/>
      <c r="F5" s="10" t="s">
        <v>45</v>
      </c>
      <c r="G5" s="10"/>
      <c r="H5" s="10" t="s">
        <v>44</v>
      </c>
      <c r="I5" s="10"/>
      <c r="J5" s="10" t="s">
        <v>43</v>
      </c>
    </row>
    <row r="6" spans="1:10" x14ac:dyDescent="0.25">
      <c r="A6" t="s">
        <v>40</v>
      </c>
      <c r="B6" s="17" t="s">
        <v>46</v>
      </c>
      <c r="C6" s="1"/>
      <c r="D6" s="18" t="s">
        <v>47</v>
      </c>
      <c r="E6" s="1"/>
      <c r="F6" s="18" t="s">
        <v>48</v>
      </c>
      <c r="G6" s="1"/>
      <c r="H6" s="18" t="s">
        <v>47</v>
      </c>
      <c r="I6" s="1"/>
      <c r="J6" s="17" t="s">
        <v>46</v>
      </c>
    </row>
    <row r="7" spans="1:10" x14ac:dyDescent="0.25">
      <c r="A7" t="s">
        <v>49</v>
      </c>
      <c r="B7" s="19">
        <v>0.16700000000000001</v>
      </c>
      <c r="C7" s="1"/>
      <c r="D7" s="19">
        <v>0.16500000000000001</v>
      </c>
      <c r="E7" s="1"/>
      <c r="F7" s="20">
        <v>0.23599999999999999</v>
      </c>
      <c r="G7" s="1"/>
      <c r="H7" s="19">
        <v>0.16500000000000001</v>
      </c>
      <c r="I7" s="1"/>
      <c r="J7" s="19">
        <v>0.16700000000000001</v>
      </c>
    </row>
    <row r="8" spans="1:10" x14ac:dyDescent="0.25">
      <c r="A8" t="s">
        <v>22</v>
      </c>
      <c r="B8" s="17">
        <v>0.58799999999999997</v>
      </c>
      <c r="C8" s="1"/>
      <c r="D8" s="21">
        <v>0.28599999999999998</v>
      </c>
      <c r="E8" s="1"/>
      <c r="F8" s="22">
        <v>0</v>
      </c>
      <c r="G8" s="1"/>
      <c r="H8" s="21">
        <v>0.28599999999999998</v>
      </c>
      <c r="I8" s="1"/>
      <c r="J8" s="17">
        <v>0.58799999999999997</v>
      </c>
    </row>
    <row r="9" spans="1:10" x14ac:dyDescent="0.25"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B10" s="10" t="s">
        <v>51</v>
      </c>
      <c r="C10" s="10"/>
      <c r="D10" s="10" t="s">
        <v>67</v>
      </c>
      <c r="E10" s="1"/>
      <c r="F10" s="10" t="s">
        <v>52</v>
      </c>
      <c r="G10" s="1"/>
      <c r="H10" s="10" t="s">
        <v>53</v>
      </c>
      <c r="I10" s="10"/>
      <c r="J10" s="10" t="s">
        <v>89</v>
      </c>
    </row>
    <row r="11" spans="1:10" x14ac:dyDescent="0.25">
      <c r="A11" t="s">
        <v>40</v>
      </c>
      <c r="B11" s="23" t="s">
        <v>54</v>
      </c>
      <c r="C11" s="1"/>
      <c r="D11" s="23" t="s">
        <v>68</v>
      </c>
      <c r="E11" s="1"/>
      <c r="F11" s="23" t="s">
        <v>55</v>
      </c>
      <c r="G11" s="1"/>
      <c r="H11" s="23" t="s">
        <v>56</v>
      </c>
      <c r="I11" s="1"/>
      <c r="J11" s="23" t="s">
        <v>70</v>
      </c>
    </row>
    <row r="12" spans="1:10" x14ac:dyDescent="0.25">
      <c r="A12" t="s">
        <v>49</v>
      </c>
      <c r="B12" s="24">
        <v>0.45500000000000002</v>
      </c>
      <c r="C12" s="1"/>
      <c r="D12" s="17">
        <v>0.94399999999999995</v>
      </c>
      <c r="E12" s="1"/>
      <c r="F12" s="17">
        <v>1</v>
      </c>
      <c r="G12" s="1"/>
      <c r="H12" s="17">
        <v>0.88100000000000001</v>
      </c>
      <c r="I12" s="1"/>
      <c r="J12" s="24">
        <v>0.63100000000000001</v>
      </c>
    </row>
    <row r="13" spans="1:10" x14ac:dyDescent="0.25">
      <c r="A13" t="s">
        <v>22</v>
      </c>
      <c r="B13" s="17">
        <v>0.86399999999999999</v>
      </c>
      <c r="C13" s="1"/>
      <c r="D13" s="19">
        <v>0</v>
      </c>
      <c r="E13" s="1"/>
      <c r="F13" s="19">
        <v>0</v>
      </c>
      <c r="G13" s="1"/>
      <c r="H13" s="24">
        <v>0.57399999999999995</v>
      </c>
      <c r="I13" s="1"/>
      <c r="J13" s="17">
        <v>0.70199999999999996</v>
      </c>
    </row>
    <row r="14" spans="1:10" x14ac:dyDescent="0.25">
      <c r="A14" t="s">
        <v>57</v>
      </c>
      <c r="B14" s="22">
        <v>0</v>
      </c>
      <c r="C14" s="1"/>
      <c r="D14" s="25">
        <v>0.12</v>
      </c>
      <c r="E14" s="1"/>
      <c r="F14" s="25">
        <v>0.21</v>
      </c>
      <c r="G14" s="1"/>
      <c r="H14" s="22">
        <v>0</v>
      </c>
      <c r="I14" s="1"/>
      <c r="J14" s="22">
        <v>0</v>
      </c>
    </row>
    <row r="15" spans="1:10" x14ac:dyDescent="0.25">
      <c r="A15" t="s">
        <v>58</v>
      </c>
      <c r="B15" s="20">
        <v>0.24399999999999999</v>
      </c>
      <c r="C15" s="1"/>
      <c r="D15" s="20" t="s">
        <v>69</v>
      </c>
      <c r="E15" s="1"/>
      <c r="F15" s="20" t="s">
        <v>59</v>
      </c>
      <c r="G15" s="1"/>
      <c r="H15" s="20">
        <v>0.315</v>
      </c>
      <c r="I15" s="1"/>
      <c r="J15" s="20" t="s">
        <v>71</v>
      </c>
    </row>
    <row r="16" spans="1:10" x14ac:dyDescent="0.25">
      <c r="B16" s="1"/>
      <c r="C16" s="1"/>
      <c r="D16" s="1"/>
      <c r="E16" s="1"/>
      <c r="F16" s="1"/>
      <c r="G16" s="1"/>
      <c r="H16" s="16"/>
      <c r="I16" s="1"/>
      <c r="J16" s="16"/>
    </row>
    <row r="17" spans="1:10" x14ac:dyDescent="0.25">
      <c r="B17" s="1"/>
      <c r="C17" s="1"/>
      <c r="D17" s="10" t="s">
        <v>62</v>
      </c>
      <c r="E17" s="1"/>
      <c r="F17" s="10" t="s">
        <v>36</v>
      </c>
      <c r="G17" s="10"/>
      <c r="H17" s="10" t="s">
        <v>63</v>
      </c>
      <c r="I17" s="1"/>
      <c r="J17" s="1"/>
    </row>
    <row r="18" spans="1:10" x14ac:dyDescent="0.25">
      <c r="A18" t="s">
        <v>49</v>
      </c>
      <c r="B18" s="1"/>
      <c r="C18" s="1"/>
      <c r="D18" s="20">
        <v>0.40600000000000003</v>
      </c>
      <c r="E18" s="1"/>
      <c r="F18" s="20">
        <v>0.25</v>
      </c>
      <c r="G18" s="1"/>
      <c r="H18" s="20">
        <v>0.40600000000000003</v>
      </c>
      <c r="I18" s="1"/>
      <c r="J18" s="1"/>
    </row>
    <row r="19" spans="1:10" x14ac:dyDescent="0.25">
      <c r="A19" t="s">
        <v>22</v>
      </c>
      <c r="B19" s="1"/>
      <c r="C19" s="1"/>
      <c r="D19" s="20">
        <v>0.14399999999999999</v>
      </c>
      <c r="E19" s="1"/>
      <c r="F19" s="20">
        <v>0.221</v>
      </c>
      <c r="G19" s="1"/>
      <c r="H19" s="20">
        <v>0.14399999999999999</v>
      </c>
      <c r="I19" s="1"/>
      <c r="J19" s="1"/>
    </row>
    <row r="20" spans="1:10" x14ac:dyDescent="0.25">
      <c r="A20" t="s">
        <v>57</v>
      </c>
      <c r="B20" s="1"/>
      <c r="C20" s="1"/>
      <c r="D20" s="17" t="s">
        <v>64</v>
      </c>
      <c r="E20" s="1"/>
      <c r="F20" s="17" t="s">
        <v>60</v>
      </c>
      <c r="G20" s="1"/>
      <c r="H20" s="17" t="s">
        <v>64</v>
      </c>
      <c r="I20" s="1"/>
      <c r="J20" s="1"/>
    </row>
    <row r="21" spans="1:10" x14ac:dyDescent="0.25">
      <c r="A21" t="s">
        <v>58</v>
      </c>
      <c r="B21" s="1"/>
      <c r="C21" s="1"/>
      <c r="D21" s="25" t="s">
        <v>65</v>
      </c>
      <c r="E21" s="1"/>
      <c r="F21" s="25" t="s">
        <v>61</v>
      </c>
      <c r="G21" s="1"/>
      <c r="H21" s="25" t="s">
        <v>66</v>
      </c>
      <c r="I21" s="1"/>
      <c r="J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E21"/>
  <sheetViews>
    <sheetView workbookViewId="0">
      <selection activeCell="A13" sqref="A13"/>
    </sheetView>
  </sheetViews>
  <sheetFormatPr baseColWidth="10" defaultRowHeight="15" x14ac:dyDescent="0.25"/>
  <cols>
    <col min="1" max="1" width="5.140625" bestFit="1" customWidth="1"/>
    <col min="2" max="2" width="4.85546875" bestFit="1" customWidth="1"/>
    <col min="3" max="10" width="4.5703125" bestFit="1" customWidth="1"/>
    <col min="11" max="11" width="7.28515625" bestFit="1" customWidth="1"/>
    <col min="12" max="12" width="5.5703125" bestFit="1" customWidth="1"/>
    <col min="13" max="13" width="5.7109375" bestFit="1" customWidth="1"/>
    <col min="14" max="14" width="5.28515625" bestFit="1" customWidth="1"/>
    <col min="15" max="15" width="5.5703125" bestFit="1" customWidth="1"/>
    <col min="16" max="16" width="5.42578125" bestFit="1" customWidth="1"/>
    <col min="17" max="18" width="5.7109375" bestFit="1" customWidth="1"/>
    <col min="19" max="19" width="9.140625" bestFit="1" customWidth="1"/>
    <col min="21" max="21" width="5.7109375" customWidth="1"/>
    <col min="22" max="22" width="5.140625" bestFit="1" customWidth="1"/>
    <col min="23" max="23" width="12.28515625" bestFit="1" customWidth="1"/>
    <col min="25" max="25" width="13.28515625" bestFit="1" customWidth="1"/>
    <col min="27" max="27" width="12.28515625" bestFit="1" customWidth="1"/>
    <col min="29" max="29" width="12.28515625" bestFit="1" customWidth="1"/>
    <col min="31" max="31" width="12.28515625" bestFit="1" customWidth="1"/>
  </cols>
  <sheetData>
    <row r="1" spans="1:31" x14ac:dyDescent="0.25">
      <c r="D1" s="1"/>
      <c r="E1" s="1"/>
      <c r="F1" s="1"/>
      <c r="G1" s="1"/>
      <c r="H1" s="1"/>
      <c r="I1" s="1"/>
      <c r="J1" s="1"/>
      <c r="K1" s="2">
        <f>SUM(K3:K16)</f>
        <v>418480.59999999992</v>
      </c>
      <c r="L1" s="1"/>
      <c r="M1" s="1"/>
      <c r="N1" s="1"/>
      <c r="O1" s="1"/>
      <c r="P1" s="1"/>
      <c r="Q1" s="1"/>
      <c r="R1" s="1"/>
      <c r="S1" s="1"/>
      <c r="W1" s="10"/>
      <c r="X1" s="10"/>
      <c r="Y1" s="10"/>
      <c r="Z1" s="10"/>
      <c r="AA1" s="10" t="s">
        <v>38</v>
      </c>
      <c r="AB1" s="10"/>
      <c r="AC1" s="10"/>
      <c r="AD1" s="10"/>
      <c r="AE1" s="10"/>
    </row>
    <row r="2" spans="1:3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3" t="s">
        <v>119</v>
      </c>
      <c r="V2" t="s">
        <v>20</v>
      </c>
      <c r="W2" s="10"/>
      <c r="X2" s="10"/>
      <c r="Y2" s="10"/>
      <c r="Z2" s="10"/>
      <c r="AA2" s="14" t="s">
        <v>39</v>
      </c>
      <c r="AB2" s="10"/>
      <c r="AC2" s="10"/>
      <c r="AD2" s="10"/>
      <c r="AE2" s="10"/>
    </row>
    <row r="3" spans="1:31" x14ac:dyDescent="0.25">
      <c r="A3" t="s">
        <v>19</v>
      </c>
      <c r="B3" s="4" t="s">
        <v>20</v>
      </c>
      <c r="C3" s="5"/>
      <c r="D3" s="6">
        <v>16</v>
      </c>
      <c r="E3" s="7">
        <v>12</v>
      </c>
      <c r="F3" s="6">
        <v>0</v>
      </c>
      <c r="G3" s="7">
        <v>0</v>
      </c>
      <c r="H3" s="6">
        <v>2</v>
      </c>
      <c r="I3" s="7">
        <v>0</v>
      </c>
      <c r="J3" s="6">
        <v>19</v>
      </c>
      <c r="K3" s="8">
        <f>(31720+3505)*1.06</f>
        <v>37338.5</v>
      </c>
      <c r="L3" s="1">
        <v>62</v>
      </c>
      <c r="M3" s="1">
        <v>56</v>
      </c>
      <c r="N3" s="1">
        <v>0</v>
      </c>
      <c r="O3" s="9">
        <v>0</v>
      </c>
      <c r="P3" s="9">
        <v>0</v>
      </c>
      <c r="Q3" s="9">
        <v>0</v>
      </c>
      <c r="R3" s="9">
        <v>33</v>
      </c>
      <c r="S3" s="10">
        <f>SUM(L3:R3)</f>
        <v>151</v>
      </c>
      <c r="T3" s="1">
        <f>(5+5.5+2)*7</f>
        <v>87.5</v>
      </c>
      <c r="V3" t="s">
        <v>40</v>
      </c>
      <c r="W3" s="10"/>
      <c r="X3" s="10"/>
      <c r="Y3" s="10"/>
      <c r="Z3" s="10"/>
      <c r="AA3" s="15" t="s">
        <v>41</v>
      </c>
      <c r="AB3" s="10"/>
      <c r="AC3" s="10"/>
      <c r="AD3" s="10"/>
      <c r="AE3" s="10"/>
    </row>
    <row r="4" spans="1:31" x14ac:dyDescent="0.25">
      <c r="A4" t="s">
        <v>21</v>
      </c>
      <c r="B4" s="4" t="s">
        <v>22</v>
      </c>
      <c r="C4" s="11" t="s">
        <v>50</v>
      </c>
      <c r="D4" s="12">
        <v>0</v>
      </c>
      <c r="E4" s="13">
        <v>14</v>
      </c>
      <c r="F4" s="12">
        <v>2</v>
      </c>
      <c r="G4" s="13">
        <v>2</v>
      </c>
      <c r="H4" s="12">
        <v>2</v>
      </c>
      <c r="I4" s="13">
        <v>10</v>
      </c>
      <c r="J4" s="12">
        <v>14</v>
      </c>
      <c r="K4" s="8">
        <f>(26960+1315)*1.04</f>
        <v>29406</v>
      </c>
      <c r="L4" s="1">
        <v>0</v>
      </c>
      <c r="M4" s="1">
        <v>79</v>
      </c>
      <c r="N4" s="1">
        <v>0</v>
      </c>
      <c r="O4" s="1">
        <v>0</v>
      </c>
      <c r="P4" s="1">
        <v>0</v>
      </c>
      <c r="Q4" s="1">
        <v>33</v>
      </c>
      <c r="R4" s="1">
        <v>16</v>
      </c>
      <c r="S4" s="10">
        <f t="shared" ref="S4:S8" si="0">SUM(L4:R4)</f>
        <v>128</v>
      </c>
      <c r="T4" s="1">
        <f>(8+3.5+1)*7</f>
        <v>87.5</v>
      </c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5">
      <c r="A5" t="s">
        <v>23</v>
      </c>
      <c r="B5" s="4" t="s">
        <v>22</v>
      </c>
      <c r="C5" s="11" t="s">
        <v>74</v>
      </c>
      <c r="D5" s="12">
        <v>0</v>
      </c>
      <c r="E5" s="13">
        <v>14</v>
      </c>
      <c r="F5" s="12">
        <v>2</v>
      </c>
      <c r="G5" s="13">
        <v>2</v>
      </c>
      <c r="H5" s="12">
        <v>2</v>
      </c>
      <c r="I5" s="13">
        <v>10</v>
      </c>
      <c r="J5" s="12">
        <v>14</v>
      </c>
      <c r="K5" s="8">
        <f>(26960+1315)*1.04</f>
        <v>29406</v>
      </c>
      <c r="L5" s="1">
        <v>0</v>
      </c>
      <c r="M5" s="1">
        <v>79</v>
      </c>
      <c r="N5" s="1">
        <v>0</v>
      </c>
      <c r="O5" s="1">
        <v>0</v>
      </c>
      <c r="P5" s="1">
        <v>0</v>
      </c>
      <c r="Q5" s="1">
        <v>33</v>
      </c>
      <c r="R5" s="1">
        <v>16</v>
      </c>
      <c r="S5" s="10">
        <f>SUM(L5:R5)</f>
        <v>128</v>
      </c>
      <c r="T5" s="1">
        <f t="shared" ref="T5:T6" si="1">(8+3.5+1)*7</f>
        <v>87.5</v>
      </c>
      <c r="U5" s="1"/>
      <c r="W5" s="10" t="s">
        <v>43</v>
      </c>
      <c r="X5" s="10"/>
      <c r="Y5" s="10" t="s">
        <v>44</v>
      </c>
      <c r="Z5" s="10"/>
      <c r="AA5" s="10" t="s">
        <v>45</v>
      </c>
      <c r="AB5" s="10"/>
      <c r="AC5" s="10" t="s">
        <v>44</v>
      </c>
      <c r="AD5" s="10"/>
      <c r="AE5" s="10" t="s">
        <v>43</v>
      </c>
    </row>
    <row r="6" spans="1:31" x14ac:dyDescent="0.25">
      <c r="A6" t="s">
        <v>24</v>
      </c>
      <c r="B6" s="4" t="s">
        <v>22</v>
      </c>
      <c r="C6" s="11" t="s">
        <v>50</v>
      </c>
      <c r="D6" s="12">
        <v>0</v>
      </c>
      <c r="E6" s="13">
        <v>14</v>
      </c>
      <c r="F6" s="12">
        <v>2</v>
      </c>
      <c r="G6" s="13">
        <v>2</v>
      </c>
      <c r="H6" s="12">
        <v>2</v>
      </c>
      <c r="I6" s="13">
        <v>10</v>
      </c>
      <c r="J6" s="12">
        <v>14</v>
      </c>
      <c r="K6" s="8">
        <f>(26960+1315)*1.04</f>
        <v>29406</v>
      </c>
      <c r="L6" s="1">
        <v>0</v>
      </c>
      <c r="M6" s="1">
        <v>79</v>
      </c>
      <c r="N6" s="1">
        <v>0</v>
      </c>
      <c r="O6" s="1">
        <v>0</v>
      </c>
      <c r="P6" s="1">
        <v>0</v>
      </c>
      <c r="Q6" s="1">
        <v>33</v>
      </c>
      <c r="R6" s="1">
        <v>16</v>
      </c>
      <c r="S6" s="10">
        <f>SUM(L6:R6)</f>
        <v>128</v>
      </c>
      <c r="T6" s="1">
        <f t="shared" si="1"/>
        <v>87.5</v>
      </c>
      <c r="U6" s="1"/>
      <c r="V6" t="s">
        <v>40</v>
      </c>
      <c r="W6" s="17" t="s">
        <v>46</v>
      </c>
      <c r="X6" s="1"/>
      <c r="Y6" s="18" t="s">
        <v>47</v>
      </c>
      <c r="Z6" s="1"/>
      <c r="AA6" s="18" t="s">
        <v>48</v>
      </c>
      <c r="AB6" s="1"/>
      <c r="AC6" s="18" t="s">
        <v>47</v>
      </c>
      <c r="AD6" s="1"/>
      <c r="AE6" s="17" t="s">
        <v>46</v>
      </c>
    </row>
    <row r="7" spans="1:31" x14ac:dyDescent="0.25">
      <c r="A7" t="s">
        <v>25</v>
      </c>
      <c r="B7" s="4" t="s">
        <v>75</v>
      </c>
      <c r="C7" s="11"/>
      <c r="D7" s="12">
        <v>0</v>
      </c>
      <c r="E7" s="13">
        <v>14</v>
      </c>
      <c r="F7" s="12">
        <v>12</v>
      </c>
      <c r="G7" s="13">
        <v>0</v>
      </c>
      <c r="H7" s="12">
        <v>2</v>
      </c>
      <c r="I7" s="13">
        <v>10</v>
      </c>
      <c r="J7" s="12">
        <v>19</v>
      </c>
      <c r="K7" s="8">
        <f>(26960+4335+1315)*1.04</f>
        <v>33914.400000000001</v>
      </c>
      <c r="L7" s="1">
        <v>0</v>
      </c>
      <c r="M7" s="1">
        <v>79</v>
      </c>
      <c r="N7" s="1">
        <v>48</v>
      </c>
      <c r="O7" s="1">
        <v>0</v>
      </c>
      <c r="P7" s="1">
        <v>0</v>
      </c>
      <c r="Q7" s="1">
        <v>33</v>
      </c>
      <c r="R7" s="1">
        <v>33</v>
      </c>
      <c r="S7" s="10">
        <f t="shared" si="0"/>
        <v>193</v>
      </c>
      <c r="T7" s="1">
        <f>(8+5+3.5+2)*7</f>
        <v>129.5</v>
      </c>
      <c r="U7" s="1"/>
      <c r="V7" t="s">
        <v>49</v>
      </c>
      <c r="W7" s="19">
        <v>0.16700000000000001</v>
      </c>
      <c r="X7" s="1"/>
      <c r="Y7" s="19">
        <v>0.16500000000000001</v>
      </c>
      <c r="Z7" s="1"/>
      <c r="AA7" s="20">
        <v>0.23599999999999999</v>
      </c>
      <c r="AB7" s="1"/>
      <c r="AC7" s="19">
        <v>0.16500000000000001</v>
      </c>
      <c r="AD7" s="1"/>
      <c r="AE7" s="19">
        <v>0.16700000000000001</v>
      </c>
    </row>
    <row r="8" spans="1:31" x14ac:dyDescent="0.25">
      <c r="A8" t="s">
        <v>26</v>
      </c>
      <c r="B8" s="4" t="s">
        <v>75</v>
      </c>
      <c r="C8" s="11"/>
      <c r="D8" s="12">
        <v>0</v>
      </c>
      <c r="E8" s="13">
        <v>14</v>
      </c>
      <c r="F8" s="12">
        <v>12</v>
      </c>
      <c r="G8" s="13">
        <v>0</v>
      </c>
      <c r="H8" s="12">
        <v>0</v>
      </c>
      <c r="I8" s="13">
        <v>10</v>
      </c>
      <c r="J8" s="12">
        <v>19</v>
      </c>
      <c r="K8" s="8">
        <f>(26960+4335+1315)*1.04</f>
        <v>33914.400000000001</v>
      </c>
      <c r="L8" s="1">
        <v>0</v>
      </c>
      <c r="M8" s="1">
        <v>79</v>
      </c>
      <c r="N8" s="1">
        <v>48</v>
      </c>
      <c r="O8" s="1">
        <v>0</v>
      </c>
      <c r="P8" s="1">
        <v>0</v>
      </c>
      <c r="Q8" s="1">
        <v>33</v>
      </c>
      <c r="R8" s="1">
        <v>33</v>
      </c>
      <c r="S8" s="10">
        <f t="shared" si="0"/>
        <v>193</v>
      </c>
      <c r="T8" s="1">
        <f t="shared" ref="T8" si="2">(8+5+3.5+2)*7</f>
        <v>129.5</v>
      </c>
      <c r="U8" s="1"/>
      <c r="V8" t="s">
        <v>22</v>
      </c>
      <c r="W8" s="17">
        <v>0.58799999999999997</v>
      </c>
      <c r="X8" s="1"/>
      <c r="Y8" s="21">
        <v>0.28599999999999998</v>
      </c>
      <c r="Z8" s="1"/>
      <c r="AA8" s="22">
        <v>0</v>
      </c>
      <c r="AB8" s="1"/>
      <c r="AC8" s="21">
        <v>0.28599999999999998</v>
      </c>
      <c r="AD8" s="1"/>
      <c r="AE8" s="17">
        <v>0.58799999999999997</v>
      </c>
    </row>
    <row r="9" spans="1:31" x14ac:dyDescent="0.25">
      <c r="A9" t="s">
        <v>27</v>
      </c>
      <c r="B9" s="4" t="s">
        <v>30</v>
      </c>
      <c r="C9" s="11" t="s">
        <v>50</v>
      </c>
      <c r="D9" s="12">
        <v>0</v>
      </c>
      <c r="E9" s="13">
        <v>12</v>
      </c>
      <c r="F9" s="12">
        <v>14</v>
      </c>
      <c r="G9" s="13">
        <v>2</v>
      </c>
      <c r="H9" s="12">
        <v>2</v>
      </c>
      <c r="I9" s="13">
        <v>10</v>
      </c>
      <c r="J9" s="12">
        <v>14</v>
      </c>
      <c r="K9" s="8">
        <f>(22460+3505+185+125+1315)*1.04</f>
        <v>28693.600000000002</v>
      </c>
      <c r="L9" s="1">
        <v>0</v>
      </c>
      <c r="M9" s="1">
        <v>56</v>
      </c>
      <c r="N9" s="1">
        <v>81</v>
      </c>
      <c r="O9" s="1">
        <v>0</v>
      </c>
      <c r="P9" s="1">
        <v>0</v>
      </c>
      <c r="Q9" s="1">
        <v>33</v>
      </c>
      <c r="R9" s="1">
        <v>16</v>
      </c>
      <c r="S9" s="10">
        <f t="shared" ref="S9:S13" si="3">SUM(L9:R9)</f>
        <v>186</v>
      </c>
      <c r="T9" s="1">
        <f>(5.5+6.5+3.5+1)*7</f>
        <v>115.5</v>
      </c>
      <c r="U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t="s">
        <v>28</v>
      </c>
      <c r="B10" s="4" t="s">
        <v>30</v>
      </c>
      <c r="C10" s="11" t="s">
        <v>50</v>
      </c>
      <c r="D10" s="12">
        <v>0</v>
      </c>
      <c r="E10" s="13">
        <v>12</v>
      </c>
      <c r="F10" s="12">
        <v>14</v>
      </c>
      <c r="G10" s="13">
        <v>2</v>
      </c>
      <c r="H10" s="12">
        <v>2</v>
      </c>
      <c r="I10" s="13">
        <v>10</v>
      </c>
      <c r="J10" s="12">
        <v>14</v>
      </c>
      <c r="K10" s="8">
        <f>(22460+3505+185+125+1315)*1.04</f>
        <v>28693.600000000002</v>
      </c>
      <c r="L10" s="1">
        <v>0</v>
      </c>
      <c r="M10" s="1">
        <v>56</v>
      </c>
      <c r="N10" s="1">
        <v>81</v>
      </c>
      <c r="O10" s="1">
        <v>0</v>
      </c>
      <c r="P10" s="1">
        <v>0</v>
      </c>
      <c r="Q10" s="1">
        <v>33</v>
      </c>
      <c r="R10" s="1">
        <v>16</v>
      </c>
      <c r="S10" s="10">
        <f t="shared" si="3"/>
        <v>186</v>
      </c>
      <c r="T10" s="1">
        <f t="shared" ref="T10:T12" si="4">(5.5+6.5+3.5+1)*7</f>
        <v>115.5</v>
      </c>
      <c r="U10" s="1"/>
      <c r="W10" s="10" t="s">
        <v>51</v>
      </c>
      <c r="X10" s="10"/>
      <c r="Y10" s="10" t="s">
        <v>67</v>
      </c>
      <c r="Z10" s="1"/>
      <c r="AA10" s="10" t="s">
        <v>52</v>
      </c>
      <c r="AB10" s="1"/>
      <c r="AC10" s="10" t="s">
        <v>53</v>
      </c>
      <c r="AD10" s="10"/>
      <c r="AE10" s="10" t="s">
        <v>51</v>
      </c>
    </row>
    <row r="11" spans="1:31" x14ac:dyDescent="0.25">
      <c r="A11" t="s">
        <v>29</v>
      </c>
      <c r="B11" s="4" t="s">
        <v>30</v>
      </c>
      <c r="C11" s="11" t="s">
        <v>74</v>
      </c>
      <c r="D11" s="12">
        <v>0</v>
      </c>
      <c r="E11" s="13">
        <v>12</v>
      </c>
      <c r="F11" s="12">
        <v>14</v>
      </c>
      <c r="G11" s="13">
        <v>2</v>
      </c>
      <c r="H11" s="12">
        <v>2</v>
      </c>
      <c r="I11" s="13">
        <v>10</v>
      </c>
      <c r="J11" s="12">
        <v>14</v>
      </c>
      <c r="K11" s="8">
        <f>(22460+1455+185+195)*1.04</f>
        <v>25266.799999999999</v>
      </c>
      <c r="L11" s="1">
        <v>0</v>
      </c>
      <c r="M11" s="1">
        <v>56</v>
      </c>
      <c r="N11" s="1">
        <v>81</v>
      </c>
      <c r="O11" s="1">
        <v>0</v>
      </c>
      <c r="P11" s="1">
        <v>0</v>
      </c>
      <c r="Q11" s="1">
        <v>33</v>
      </c>
      <c r="R11" s="1">
        <v>16</v>
      </c>
      <c r="S11" s="10">
        <f t="shared" si="3"/>
        <v>186</v>
      </c>
      <c r="T11" s="1">
        <f t="shared" si="4"/>
        <v>115.5</v>
      </c>
      <c r="U11" s="1"/>
      <c r="V11" t="s">
        <v>40</v>
      </c>
      <c r="W11" s="23" t="s">
        <v>54</v>
      </c>
      <c r="X11" s="1"/>
      <c r="Y11" s="23" t="s">
        <v>68</v>
      </c>
      <c r="Z11" s="1"/>
      <c r="AA11" s="23" t="s">
        <v>77</v>
      </c>
      <c r="AB11" s="1"/>
      <c r="AC11" s="23" t="s">
        <v>56</v>
      </c>
      <c r="AD11" s="1"/>
      <c r="AE11" s="23" t="s">
        <v>70</v>
      </c>
    </row>
    <row r="12" spans="1:31" x14ac:dyDescent="0.25">
      <c r="A12" t="s">
        <v>72</v>
      </c>
      <c r="B12" s="4" t="s">
        <v>30</v>
      </c>
      <c r="C12" s="11" t="s">
        <v>50</v>
      </c>
      <c r="D12" s="12">
        <v>0</v>
      </c>
      <c r="E12" s="13">
        <v>12</v>
      </c>
      <c r="F12" s="12">
        <v>14</v>
      </c>
      <c r="G12" s="13">
        <v>2</v>
      </c>
      <c r="H12" s="12">
        <v>2</v>
      </c>
      <c r="I12" s="13">
        <v>10</v>
      </c>
      <c r="J12" s="12">
        <v>14</v>
      </c>
      <c r="K12" s="8">
        <f>(22460+3505+1315)*1.04</f>
        <v>28371.200000000001</v>
      </c>
      <c r="L12" s="1">
        <v>0</v>
      </c>
      <c r="M12" s="1">
        <v>56</v>
      </c>
      <c r="N12" s="1">
        <v>81</v>
      </c>
      <c r="O12" s="1">
        <v>0</v>
      </c>
      <c r="P12" s="1">
        <v>0</v>
      </c>
      <c r="Q12" s="1">
        <v>33</v>
      </c>
      <c r="R12" s="1">
        <v>16</v>
      </c>
      <c r="S12" s="10">
        <f t="shared" si="3"/>
        <v>186</v>
      </c>
      <c r="T12" s="1">
        <f t="shared" si="4"/>
        <v>115.5</v>
      </c>
      <c r="U12" s="1"/>
      <c r="V12" t="s">
        <v>49</v>
      </c>
      <c r="W12" s="24">
        <v>0.45500000000000002</v>
      </c>
      <c r="X12" s="1"/>
      <c r="Y12" s="17">
        <v>0.94399999999999995</v>
      </c>
      <c r="Z12" s="1"/>
      <c r="AA12" s="17">
        <v>1</v>
      </c>
      <c r="AB12" s="1"/>
      <c r="AC12" s="17">
        <v>0.88100000000000001</v>
      </c>
      <c r="AD12" s="1"/>
      <c r="AE12" s="24">
        <v>0.63100000000000001</v>
      </c>
    </row>
    <row r="13" spans="1:31" x14ac:dyDescent="0.25">
      <c r="A13" t="s">
        <v>31</v>
      </c>
      <c r="B13" s="4" t="s">
        <v>32</v>
      </c>
      <c r="C13" s="11" t="s">
        <v>42</v>
      </c>
      <c r="D13" s="12">
        <v>0</v>
      </c>
      <c r="E13" s="13">
        <v>10</v>
      </c>
      <c r="F13" s="12">
        <v>14</v>
      </c>
      <c r="G13" s="13">
        <v>9</v>
      </c>
      <c r="H13" s="12">
        <v>9</v>
      </c>
      <c r="I13" s="13">
        <v>10</v>
      </c>
      <c r="J13" s="12">
        <v>14</v>
      </c>
      <c r="K13" s="8">
        <f>(22460+3505+185+125+1315)*1.04</f>
        <v>28693.600000000002</v>
      </c>
      <c r="L13" s="1">
        <v>0</v>
      </c>
      <c r="M13" s="1">
        <v>37</v>
      </c>
      <c r="N13" s="1">
        <v>81</v>
      </c>
      <c r="O13" s="1">
        <v>18</v>
      </c>
      <c r="P13" s="1">
        <v>23</v>
      </c>
      <c r="Q13" s="1">
        <v>33</v>
      </c>
      <c r="R13" s="1">
        <v>16</v>
      </c>
      <c r="S13" s="10">
        <f t="shared" si="3"/>
        <v>208</v>
      </c>
      <c r="T13" s="1">
        <f>(4.5+6.5+3.5+3.5+3.5+1)*7</f>
        <v>157.5</v>
      </c>
      <c r="U13" s="1"/>
      <c r="V13" t="s">
        <v>22</v>
      </c>
      <c r="W13" s="17">
        <v>0.86399999999999999</v>
      </c>
      <c r="X13" s="1"/>
      <c r="Y13" s="19">
        <v>0</v>
      </c>
      <c r="Z13" s="1"/>
      <c r="AA13" s="19">
        <v>0</v>
      </c>
      <c r="AB13" s="1"/>
      <c r="AC13" s="24">
        <v>0.57399999999999995</v>
      </c>
      <c r="AD13" s="1"/>
      <c r="AE13" s="17">
        <v>0.70199999999999996</v>
      </c>
    </row>
    <row r="14" spans="1:31" x14ac:dyDescent="0.25">
      <c r="A14" t="s">
        <v>33</v>
      </c>
      <c r="B14" s="4" t="s">
        <v>32</v>
      </c>
      <c r="C14" s="11" t="s">
        <v>73</v>
      </c>
      <c r="D14" s="12">
        <v>0</v>
      </c>
      <c r="E14" s="13">
        <v>10</v>
      </c>
      <c r="F14" s="12">
        <v>14</v>
      </c>
      <c r="G14" s="13">
        <v>9</v>
      </c>
      <c r="H14" s="12">
        <v>9</v>
      </c>
      <c r="I14" s="13">
        <v>10</v>
      </c>
      <c r="J14" s="12">
        <v>14</v>
      </c>
      <c r="K14" s="8">
        <f>(22460+3505+185+125+1315)*1.04</f>
        <v>28693.600000000002</v>
      </c>
      <c r="L14" s="1">
        <v>0</v>
      </c>
      <c r="M14" s="1">
        <v>37</v>
      </c>
      <c r="N14" s="1">
        <v>81</v>
      </c>
      <c r="O14" s="1">
        <v>18</v>
      </c>
      <c r="P14" s="1">
        <v>23</v>
      </c>
      <c r="Q14" s="1">
        <v>33</v>
      </c>
      <c r="R14" s="1">
        <v>16</v>
      </c>
      <c r="S14" s="10">
        <f>SUM(L14:R14)</f>
        <v>208</v>
      </c>
      <c r="T14" s="1">
        <f t="shared" ref="T14:T15" si="5">(4.5+6.5+3.5+3.5+3.5+1)*7</f>
        <v>157.5</v>
      </c>
      <c r="U14" s="1"/>
      <c r="V14" t="s">
        <v>57</v>
      </c>
      <c r="W14" s="22">
        <v>0</v>
      </c>
      <c r="X14" s="1"/>
      <c r="Y14" s="25">
        <v>0.12</v>
      </c>
      <c r="Z14" s="1"/>
      <c r="AA14" s="25">
        <v>0.21</v>
      </c>
      <c r="AB14" s="1"/>
      <c r="AC14" s="22">
        <v>0</v>
      </c>
      <c r="AD14" s="1"/>
      <c r="AE14" s="22">
        <v>0</v>
      </c>
    </row>
    <row r="15" spans="1:31" x14ac:dyDescent="0.25">
      <c r="A15" t="s">
        <v>34</v>
      </c>
      <c r="B15" s="4" t="s">
        <v>32</v>
      </c>
      <c r="C15" s="11" t="s">
        <v>50</v>
      </c>
      <c r="D15" s="12">
        <v>0</v>
      </c>
      <c r="E15" s="13">
        <v>10</v>
      </c>
      <c r="F15" s="12">
        <v>14</v>
      </c>
      <c r="G15" s="13">
        <v>9</v>
      </c>
      <c r="H15" s="12">
        <v>2</v>
      </c>
      <c r="I15" s="13">
        <v>10</v>
      </c>
      <c r="J15" s="12">
        <v>14</v>
      </c>
      <c r="K15" s="8">
        <f>(22460+3505+185+125+1315)*1.04</f>
        <v>28693.600000000002</v>
      </c>
      <c r="L15" s="1">
        <v>0</v>
      </c>
      <c r="M15" s="1">
        <v>37</v>
      </c>
      <c r="N15" s="1">
        <v>81</v>
      </c>
      <c r="O15" s="1">
        <v>18</v>
      </c>
      <c r="P15" s="1">
        <v>0</v>
      </c>
      <c r="Q15" s="1">
        <v>33</v>
      </c>
      <c r="R15" s="1">
        <v>16</v>
      </c>
      <c r="S15" s="10">
        <f>SUM(L15:R15)</f>
        <v>185</v>
      </c>
      <c r="T15" s="1">
        <f t="shared" si="5"/>
        <v>157.5</v>
      </c>
      <c r="U15" s="1"/>
      <c r="V15" t="s">
        <v>58</v>
      </c>
      <c r="W15" s="20">
        <v>0.24399999999999999</v>
      </c>
      <c r="X15" s="1"/>
      <c r="Y15" s="20" t="s">
        <v>69</v>
      </c>
      <c r="Z15" s="1"/>
      <c r="AA15" s="20" t="s">
        <v>59</v>
      </c>
      <c r="AB15" s="1"/>
      <c r="AC15" s="20">
        <v>0.315</v>
      </c>
      <c r="AD15" s="1"/>
      <c r="AE15" s="20" t="s">
        <v>71</v>
      </c>
    </row>
    <row r="16" spans="1:31" x14ac:dyDescent="0.25">
      <c r="A16" t="s">
        <v>35</v>
      </c>
      <c r="B16" s="4" t="s">
        <v>76</v>
      </c>
      <c r="C16" s="11" t="s">
        <v>42</v>
      </c>
      <c r="D16" s="12">
        <v>0</v>
      </c>
      <c r="E16" s="13">
        <v>2</v>
      </c>
      <c r="F16" s="12">
        <v>14</v>
      </c>
      <c r="G16" s="13">
        <v>2</v>
      </c>
      <c r="H16" s="12">
        <v>10</v>
      </c>
      <c r="I16" s="13">
        <v>10</v>
      </c>
      <c r="J16" s="12">
        <v>19</v>
      </c>
      <c r="K16" s="8">
        <f>(22460+3505+195+245)*1.06</f>
        <v>27989.300000000003</v>
      </c>
      <c r="L16" s="1">
        <v>0</v>
      </c>
      <c r="M16" s="1">
        <v>0</v>
      </c>
      <c r="N16" s="1">
        <v>68</v>
      </c>
      <c r="O16" s="1">
        <v>0</v>
      </c>
      <c r="P16" s="1">
        <v>29</v>
      </c>
      <c r="Q16" s="1">
        <v>33</v>
      </c>
      <c r="R16" s="1">
        <v>33</v>
      </c>
      <c r="S16" s="10">
        <f t="shared" ref="S16:S17" si="6">SUM(L16:R16)</f>
        <v>163</v>
      </c>
      <c r="T16" s="1">
        <f>(6.5+3.5+3.5+2)*7</f>
        <v>108.5</v>
      </c>
      <c r="U16" s="1"/>
      <c r="W16" s="1"/>
      <c r="X16" s="1"/>
      <c r="Y16" s="1"/>
      <c r="Z16" s="1"/>
      <c r="AA16" s="1"/>
      <c r="AB16" s="1"/>
      <c r="AC16" s="16"/>
      <c r="AD16" s="1"/>
      <c r="AE16" s="16"/>
    </row>
    <row r="17" spans="1:31" x14ac:dyDescent="0.25">
      <c r="A17" t="s">
        <v>37</v>
      </c>
      <c r="B17" s="4" t="s">
        <v>76</v>
      </c>
      <c r="C17" s="11" t="s">
        <v>82</v>
      </c>
      <c r="D17" s="12">
        <v>0</v>
      </c>
      <c r="E17" s="13">
        <v>2</v>
      </c>
      <c r="F17" s="12">
        <v>14</v>
      </c>
      <c r="G17" s="13">
        <v>2</v>
      </c>
      <c r="H17" s="12">
        <v>2</v>
      </c>
      <c r="I17" s="13">
        <v>10</v>
      </c>
      <c r="J17" s="12">
        <v>19</v>
      </c>
      <c r="K17" s="8">
        <f>(22460+3505+195+245)*1.06</f>
        <v>27989.300000000003</v>
      </c>
      <c r="L17" s="1">
        <v>0</v>
      </c>
      <c r="M17" s="1">
        <v>0</v>
      </c>
      <c r="N17" s="1">
        <v>68</v>
      </c>
      <c r="O17" s="1">
        <v>0</v>
      </c>
      <c r="P17" s="1">
        <v>0</v>
      </c>
      <c r="Q17" s="1">
        <v>33</v>
      </c>
      <c r="R17" s="1">
        <v>33</v>
      </c>
      <c r="S17" s="10">
        <f t="shared" si="6"/>
        <v>134</v>
      </c>
      <c r="T17" s="1">
        <f>(6.5+3.5+2)*7</f>
        <v>84</v>
      </c>
      <c r="U17" s="1"/>
      <c r="W17" s="1"/>
      <c r="X17" s="1"/>
      <c r="Y17" s="10" t="s">
        <v>62</v>
      </c>
      <c r="Z17" s="1"/>
      <c r="AA17" s="10" t="s">
        <v>36</v>
      </c>
      <c r="AB17" s="10"/>
      <c r="AC17" s="10" t="s">
        <v>63</v>
      </c>
      <c r="AD17" s="1"/>
      <c r="AE17" s="1"/>
    </row>
    <row r="18" spans="1:31" x14ac:dyDescent="0.25">
      <c r="V18" t="s">
        <v>49</v>
      </c>
      <c r="W18" s="1"/>
      <c r="X18" s="1"/>
      <c r="Y18" s="20">
        <v>0.40600000000000003</v>
      </c>
      <c r="Z18" s="1"/>
      <c r="AA18" s="20">
        <v>0.25</v>
      </c>
      <c r="AB18" s="1"/>
      <c r="AC18" s="20">
        <v>0.40600000000000003</v>
      </c>
      <c r="AD18" s="1"/>
      <c r="AE18" s="1"/>
    </row>
    <row r="19" spans="1:31" x14ac:dyDescent="0.25">
      <c r="V19" t="s">
        <v>22</v>
      </c>
      <c r="W19" s="1"/>
      <c r="X19" s="1"/>
      <c r="Y19" s="20">
        <v>0.14399999999999999</v>
      </c>
      <c r="Z19" s="1"/>
      <c r="AA19" s="20">
        <v>0.221</v>
      </c>
      <c r="AB19" s="1"/>
      <c r="AC19" s="20">
        <v>0.14399999999999999</v>
      </c>
      <c r="AD19" s="1"/>
      <c r="AE19" s="1"/>
    </row>
    <row r="20" spans="1:31" x14ac:dyDescent="0.25">
      <c r="V20" t="s">
        <v>57</v>
      </c>
      <c r="W20" s="1"/>
      <c r="X20" s="1"/>
      <c r="Y20" s="17" t="s">
        <v>64</v>
      </c>
      <c r="Z20" s="1"/>
      <c r="AA20" s="17" t="s">
        <v>60</v>
      </c>
      <c r="AB20" s="1"/>
      <c r="AC20" s="17" t="s">
        <v>64</v>
      </c>
      <c r="AD20" s="1"/>
      <c r="AE20" s="1"/>
    </row>
    <row r="21" spans="1:31" x14ac:dyDescent="0.25">
      <c r="V21" t="s">
        <v>58</v>
      </c>
      <c r="W21" s="1"/>
      <c r="X21" s="1"/>
      <c r="Y21" s="25" t="s">
        <v>65</v>
      </c>
      <c r="Z21" s="1"/>
      <c r="AA21" s="25" t="s">
        <v>61</v>
      </c>
      <c r="AB21" s="1"/>
      <c r="AC21" s="25" t="s">
        <v>66</v>
      </c>
      <c r="AD21" s="1"/>
      <c r="AE21" s="1"/>
    </row>
  </sheetData>
  <conditionalFormatting sqref="D3:J17">
    <cfRule type="colorScale" priority="6">
      <colorScale>
        <cfvo type="min"/>
        <cfvo type="max"/>
        <color rgb="FFFFEF9C"/>
        <color rgb="FF63BE7B"/>
      </colorScale>
    </cfRule>
  </conditionalFormatting>
  <conditionalFormatting sqref="K3:K17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{66766047-44D7-43D9-A93B-A05B860B6185}</x14:id>
        </ext>
      </extLst>
    </cfRule>
  </conditionalFormatting>
  <conditionalFormatting sqref="L3:R17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766047-44D7-43D9-A93B-A05B860B618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R84"/>
  <sheetViews>
    <sheetView workbookViewId="0">
      <selection activeCell="T14" sqref="T14"/>
    </sheetView>
  </sheetViews>
  <sheetFormatPr baseColWidth="10" defaultRowHeight="15" x14ac:dyDescent="0.25"/>
  <cols>
    <col min="1" max="1" width="5.140625" bestFit="1" customWidth="1"/>
    <col min="2" max="2" width="4.7109375" bestFit="1" customWidth="1"/>
    <col min="3" max="6" width="4.5703125" bestFit="1" customWidth="1"/>
    <col min="7" max="7" width="3.5703125" bestFit="1" customWidth="1"/>
    <col min="8" max="10" width="4.5703125" bestFit="1" customWidth="1"/>
    <col min="11" max="11" width="7.28515625" bestFit="1" customWidth="1"/>
    <col min="12" max="12" width="5.5703125" bestFit="1" customWidth="1"/>
    <col min="13" max="13" width="5.7109375" bestFit="1" customWidth="1"/>
    <col min="14" max="14" width="5.28515625" bestFit="1" customWidth="1"/>
    <col min="15" max="15" width="5.5703125" bestFit="1" customWidth="1"/>
    <col min="16" max="16" width="5.42578125" bestFit="1" customWidth="1"/>
    <col min="17" max="18" width="5.7109375" bestFit="1" customWidth="1"/>
    <col min="19" max="19" width="9.140625" bestFit="1" customWidth="1"/>
    <col min="20" max="20" width="10.85546875" bestFit="1" customWidth="1"/>
    <col min="21" max="21" width="5.140625" bestFit="1" customWidth="1"/>
    <col min="22" max="22" width="4.7109375" bestFit="1" customWidth="1"/>
    <col min="23" max="26" width="4.5703125" bestFit="1" customWidth="1"/>
    <col min="27" max="27" width="3.5703125" bestFit="1" customWidth="1"/>
    <col min="28" max="30" width="4.5703125" bestFit="1" customWidth="1"/>
    <col min="31" max="31" width="7.28515625" bestFit="1" customWidth="1"/>
    <col min="32" max="32" width="5.5703125" bestFit="1" customWidth="1"/>
    <col min="33" max="33" width="5.7109375" bestFit="1" customWidth="1"/>
    <col min="34" max="34" width="5.28515625" bestFit="1" customWidth="1"/>
    <col min="35" max="35" width="5.5703125" bestFit="1" customWidth="1"/>
    <col min="36" max="36" width="5.42578125" bestFit="1" customWidth="1"/>
    <col min="37" max="38" width="5.7109375" bestFit="1" customWidth="1"/>
    <col min="39" max="39" width="9.140625" bestFit="1" customWidth="1"/>
    <col min="40" max="40" width="7" customWidth="1"/>
    <col min="41" max="42" width="5.42578125" customWidth="1"/>
  </cols>
  <sheetData>
    <row r="1" spans="1:4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3" t="s">
        <v>119</v>
      </c>
    </row>
    <row r="2" spans="1:44" x14ac:dyDescent="0.25">
      <c r="A2" t="s">
        <v>19</v>
      </c>
      <c r="B2" s="4" t="s">
        <v>20</v>
      </c>
      <c r="C2" s="5"/>
      <c r="D2" s="6">
        <v>16</v>
      </c>
      <c r="E2" s="7">
        <v>12</v>
      </c>
      <c r="F2" s="6">
        <v>0</v>
      </c>
      <c r="G2" s="7">
        <v>0</v>
      </c>
      <c r="H2" s="6">
        <v>2</v>
      </c>
      <c r="I2" s="7">
        <v>0</v>
      </c>
      <c r="J2" s="6">
        <v>19</v>
      </c>
      <c r="K2" s="8">
        <f>(31720+3505)*1.06</f>
        <v>37338.5</v>
      </c>
      <c r="L2" s="1">
        <v>62</v>
      </c>
      <c r="M2" s="1">
        <v>56</v>
      </c>
      <c r="N2" s="1">
        <v>0</v>
      </c>
      <c r="O2" s="9">
        <v>0</v>
      </c>
      <c r="P2" s="9">
        <v>0</v>
      </c>
      <c r="Q2" s="9">
        <v>0</v>
      </c>
      <c r="R2" s="9">
        <v>33</v>
      </c>
      <c r="S2" s="10">
        <f>SUM(L2:R2)</f>
        <v>151</v>
      </c>
      <c r="T2" s="1">
        <f>(5+5.5+2)*7</f>
        <v>87.5</v>
      </c>
    </row>
    <row r="3" spans="1:44" x14ac:dyDescent="0.25">
      <c r="A3" t="s">
        <v>21</v>
      </c>
      <c r="B3" s="4" t="s">
        <v>22</v>
      </c>
      <c r="C3" s="11" t="s">
        <v>50</v>
      </c>
      <c r="D3" s="12">
        <v>0</v>
      </c>
      <c r="E3" s="13">
        <v>14</v>
      </c>
      <c r="F3" s="12">
        <v>2</v>
      </c>
      <c r="G3" s="13">
        <v>2</v>
      </c>
      <c r="H3" s="12">
        <v>2</v>
      </c>
      <c r="I3" s="13">
        <v>10</v>
      </c>
      <c r="J3" s="12">
        <v>14</v>
      </c>
      <c r="K3" s="8">
        <f>(26960+1315)*1.04</f>
        <v>29406</v>
      </c>
      <c r="L3" s="1">
        <v>0</v>
      </c>
      <c r="M3" s="1">
        <v>79</v>
      </c>
      <c r="N3" s="1">
        <v>0</v>
      </c>
      <c r="O3" s="1">
        <v>0</v>
      </c>
      <c r="P3" s="1">
        <v>0</v>
      </c>
      <c r="Q3" s="1">
        <v>33</v>
      </c>
      <c r="R3" s="1">
        <v>16</v>
      </c>
      <c r="S3" s="10">
        <f t="shared" ref="S3:S7" si="0">SUM(L3:R3)</f>
        <v>128</v>
      </c>
      <c r="T3" s="1">
        <f>(8+3.5+1)*7</f>
        <v>87.5</v>
      </c>
    </row>
    <row r="4" spans="1:44" x14ac:dyDescent="0.25">
      <c r="A4" t="s">
        <v>23</v>
      </c>
      <c r="B4" s="4" t="s">
        <v>22</v>
      </c>
      <c r="C4" s="11" t="s">
        <v>74</v>
      </c>
      <c r="D4" s="12">
        <v>0</v>
      </c>
      <c r="E4" s="13">
        <v>14</v>
      </c>
      <c r="F4" s="12">
        <v>2</v>
      </c>
      <c r="G4" s="13">
        <v>2</v>
      </c>
      <c r="H4" s="12">
        <v>2</v>
      </c>
      <c r="I4" s="13">
        <v>10</v>
      </c>
      <c r="J4" s="12">
        <v>14</v>
      </c>
      <c r="K4" s="8">
        <f>(26960+1315)*1.04</f>
        <v>29406</v>
      </c>
      <c r="L4" s="1">
        <v>0</v>
      </c>
      <c r="M4" s="1">
        <v>79</v>
      </c>
      <c r="N4" s="1">
        <v>0</v>
      </c>
      <c r="O4" s="1">
        <v>0</v>
      </c>
      <c r="P4" s="1">
        <v>0</v>
      </c>
      <c r="Q4" s="1">
        <v>33</v>
      </c>
      <c r="R4" s="1">
        <v>16</v>
      </c>
      <c r="S4" s="10">
        <f>SUM(L4:R4)</f>
        <v>128</v>
      </c>
      <c r="T4" s="1">
        <f t="shared" ref="T4:T5" si="1">(8+3.5+1)*7</f>
        <v>87.5</v>
      </c>
    </row>
    <row r="5" spans="1:44" x14ac:dyDescent="0.25">
      <c r="A5" t="s">
        <v>24</v>
      </c>
      <c r="B5" s="4" t="s">
        <v>22</v>
      </c>
      <c r="C5" s="11" t="s">
        <v>50</v>
      </c>
      <c r="D5" s="12">
        <v>0</v>
      </c>
      <c r="E5" s="13">
        <v>14</v>
      </c>
      <c r="F5" s="12">
        <v>2</v>
      </c>
      <c r="G5" s="13">
        <v>2</v>
      </c>
      <c r="H5" s="12">
        <v>2</v>
      </c>
      <c r="I5" s="13">
        <v>10</v>
      </c>
      <c r="J5" s="12">
        <v>14</v>
      </c>
      <c r="K5" s="8">
        <f>(26960+1315)*1.04</f>
        <v>29406</v>
      </c>
      <c r="L5" s="1">
        <v>0</v>
      </c>
      <c r="M5" s="1">
        <v>79</v>
      </c>
      <c r="N5" s="1">
        <v>0</v>
      </c>
      <c r="O5" s="1">
        <v>0</v>
      </c>
      <c r="P5" s="1">
        <v>0</v>
      </c>
      <c r="Q5" s="1">
        <v>33</v>
      </c>
      <c r="R5" s="1">
        <v>16</v>
      </c>
      <c r="S5" s="10">
        <f>SUM(L5:R5)</f>
        <v>128</v>
      </c>
      <c r="T5" s="1">
        <f t="shared" si="1"/>
        <v>87.5</v>
      </c>
    </row>
    <row r="6" spans="1:44" x14ac:dyDescent="0.25">
      <c r="A6" t="s">
        <v>25</v>
      </c>
      <c r="B6" s="4" t="s">
        <v>75</v>
      </c>
      <c r="C6" s="11"/>
      <c r="D6" s="12">
        <v>0</v>
      </c>
      <c r="E6" s="13">
        <v>14</v>
      </c>
      <c r="F6" s="12">
        <v>12</v>
      </c>
      <c r="G6" s="13">
        <v>0</v>
      </c>
      <c r="H6" s="12">
        <v>2</v>
      </c>
      <c r="I6" s="13">
        <v>10</v>
      </c>
      <c r="J6" s="12">
        <v>19</v>
      </c>
      <c r="K6" s="8">
        <f>(26960+4335+1315)*1.04</f>
        <v>33914.400000000001</v>
      </c>
      <c r="L6" s="1">
        <v>0</v>
      </c>
      <c r="M6" s="1">
        <v>79</v>
      </c>
      <c r="N6" s="1">
        <v>48</v>
      </c>
      <c r="O6" s="1">
        <v>0</v>
      </c>
      <c r="P6" s="1">
        <v>0</v>
      </c>
      <c r="Q6" s="1">
        <v>33</v>
      </c>
      <c r="R6" s="1">
        <v>33</v>
      </c>
      <c r="S6" s="10">
        <f t="shared" si="0"/>
        <v>193</v>
      </c>
      <c r="T6" s="1">
        <f>(8+5+3.5+2)*7</f>
        <v>129.5</v>
      </c>
    </row>
    <row r="7" spans="1:44" x14ac:dyDescent="0.25">
      <c r="A7" t="s">
        <v>26</v>
      </c>
      <c r="B7" s="4" t="s">
        <v>75</v>
      </c>
      <c r="C7" s="11"/>
      <c r="D7" s="12">
        <v>0</v>
      </c>
      <c r="E7" s="13">
        <v>14</v>
      </c>
      <c r="F7" s="12">
        <v>12</v>
      </c>
      <c r="G7" s="13">
        <v>0</v>
      </c>
      <c r="H7" s="12">
        <v>0</v>
      </c>
      <c r="I7" s="13">
        <v>10</v>
      </c>
      <c r="J7" s="12">
        <v>19</v>
      </c>
      <c r="K7" s="8">
        <f>(26960+4335+1315)*1.04</f>
        <v>33914.400000000001</v>
      </c>
      <c r="L7" s="1">
        <v>0</v>
      </c>
      <c r="M7" s="1">
        <v>79</v>
      </c>
      <c r="N7" s="1">
        <v>48</v>
      </c>
      <c r="O7" s="1">
        <v>0</v>
      </c>
      <c r="P7" s="1">
        <v>0</v>
      </c>
      <c r="Q7" s="1">
        <v>33</v>
      </c>
      <c r="R7" s="1">
        <v>33</v>
      </c>
      <c r="S7" s="10">
        <f t="shared" si="0"/>
        <v>193</v>
      </c>
      <c r="T7" s="1">
        <f t="shared" ref="T7" si="2">(8+5+3.5+2)*7</f>
        <v>129.5</v>
      </c>
      <c r="AP7" s="34">
        <f>AP8+AP12</f>
        <v>7.5625</v>
      </c>
    </row>
    <row r="8" spans="1:44" x14ac:dyDescent="0.25">
      <c r="A8" t="s">
        <v>27</v>
      </c>
      <c r="B8" s="4" t="s">
        <v>30</v>
      </c>
      <c r="C8" s="11" t="s">
        <v>50</v>
      </c>
      <c r="D8" s="12">
        <v>0</v>
      </c>
      <c r="E8" s="13">
        <v>12</v>
      </c>
      <c r="F8" s="12">
        <v>14</v>
      </c>
      <c r="G8" s="13">
        <v>2</v>
      </c>
      <c r="H8" s="12">
        <v>2</v>
      </c>
      <c r="I8" s="13">
        <v>10</v>
      </c>
      <c r="J8" s="12">
        <v>14</v>
      </c>
      <c r="K8" s="8">
        <f>(22460+3505+185+125+1315)*1.04</f>
        <v>28693.600000000002</v>
      </c>
      <c r="L8" s="1">
        <v>0</v>
      </c>
      <c r="M8" s="1">
        <v>56</v>
      </c>
      <c r="N8" s="1">
        <v>68</v>
      </c>
      <c r="O8" s="1">
        <v>0</v>
      </c>
      <c r="P8" s="1">
        <v>0</v>
      </c>
      <c r="Q8" s="1">
        <v>33</v>
      </c>
      <c r="R8" s="1">
        <v>16</v>
      </c>
      <c r="S8" s="10">
        <f t="shared" ref="S8:S12" si="3">SUM(L8:R8)</f>
        <v>173</v>
      </c>
      <c r="T8" s="1">
        <f>(5.5+6.5+3.5+1)*7</f>
        <v>115.5</v>
      </c>
      <c r="AP8">
        <f>31/16</f>
        <v>1.9375</v>
      </c>
      <c r="AQ8" t="s">
        <v>120</v>
      </c>
      <c r="AR8" t="s">
        <v>57</v>
      </c>
    </row>
    <row r="9" spans="1:44" x14ac:dyDescent="0.25">
      <c r="A9" t="s">
        <v>28</v>
      </c>
      <c r="B9" s="4" t="s">
        <v>30</v>
      </c>
      <c r="C9" s="11" t="s">
        <v>50</v>
      </c>
      <c r="D9" s="12">
        <v>0</v>
      </c>
      <c r="E9" s="13">
        <v>12</v>
      </c>
      <c r="F9" s="12">
        <v>14</v>
      </c>
      <c r="G9" s="13">
        <v>2</v>
      </c>
      <c r="H9" s="12">
        <v>2</v>
      </c>
      <c r="I9" s="13">
        <v>10</v>
      </c>
      <c r="J9" s="12">
        <v>14</v>
      </c>
      <c r="K9" s="8">
        <f>(22460+3505+185+125+1315)*1.04</f>
        <v>28693.600000000002</v>
      </c>
      <c r="L9" s="1">
        <v>0</v>
      </c>
      <c r="M9" s="1">
        <v>56</v>
      </c>
      <c r="N9" s="1">
        <v>68</v>
      </c>
      <c r="O9" s="1">
        <v>0</v>
      </c>
      <c r="P9" s="1">
        <v>0</v>
      </c>
      <c r="Q9" s="1">
        <v>33</v>
      </c>
      <c r="R9" s="1">
        <v>16</v>
      </c>
      <c r="S9" s="10">
        <f t="shared" si="3"/>
        <v>173</v>
      </c>
      <c r="T9" s="1">
        <f t="shared" ref="T9:T11" si="4">(5.5+6.5+3.5+1)*7</f>
        <v>115.5</v>
      </c>
    </row>
    <row r="10" spans="1:44" x14ac:dyDescent="0.25">
      <c r="A10" t="s">
        <v>29</v>
      </c>
      <c r="B10" s="4" t="s">
        <v>30</v>
      </c>
      <c r="C10" s="11" t="s">
        <v>74</v>
      </c>
      <c r="D10" s="12">
        <v>0</v>
      </c>
      <c r="E10" s="13">
        <v>12</v>
      </c>
      <c r="F10" s="12">
        <v>14</v>
      </c>
      <c r="G10" s="13">
        <v>2</v>
      </c>
      <c r="H10" s="12">
        <v>2</v>
      </c>
      <c r="I10" s="13">
        <v>10</v>
      </c>
      <c r="J10" s="12">
        <v>14</v>
      </c>
      <c r="K10" s="8">
        <f>(22460+1455+185+195)*1.04</f>
        <v>25266.799999999999</v>
      </c>
      <c r="L10" s="1">
        <v>0</v>
      </c>
      <c r="M10" s="1">
        <v>56</v>
      </c>
      <c r="N10" s="1">
        <v>68</v>
      </c>
      <c r="O10" s="1">
        <v>0</v>
      </c>
      <c r="P10" s="1">
        <v>0</v>
      </c>
      <c r="Q10" s="1">
        <v>33</v>
      </c>
      <c r="R10" s="1">
        <v>16</v>
      </c>
      <c r="S10" s="10">
        <f t="shared" si="3"/>
        <v>173</v>
      </c>
      <c r="T10" s="1">
        <f t="shared" si="4"/>
        <v>115.5</v>
      </c>
    </row>
    <row r="11" spans="1:44" x14ac:dyDescent="0.25">
      <c r="A11" t="s">
        <v>72</v>
      </c>
      <c r="B11" s="4" t="s">
        <v>30</v>
      </c>
      <c r="C11" s="11" t="s">
        <v>50</v>
      </c>
      <c r="D11" s="12">
        <v>0</v>
      </c>
      <c r="E11" s="13">
        <v>12</v>
      </c>
      <c r="F11" s="12">
        <v>14</v>
      </c>
      <c r="G11" s="13">
        <v>2</v>
      </c>
      <c r="H11" s="12">
        <v>2</v>
      </c>
      <c r="I11" s="13">
        <v>10</v>
      </c>
      <c r="J11" s="12">
        <v>14</v>
      </c>
      <c r="K11" s="8">
        <f>(22460+3505+1315)*1.04</f>
        <v>28371.200000000001</v>
      </c>
      <c r="L11" s="1">
        <v>0</v>
      </c>
      <c r="M11" s="1">
        <v>56</v>
      </c>
      <c r="N11" s="1">
        <v>68</v>
      </c>
      <c r="O11" s="1">
        <v>0</v>
      </c>
      <c r="P11" s="1">
        <v>0</v>
      </c>
      <c r="Q11" s="1">
        <v>33</v>
      </c>
      <c r="R11" s="1">
        <v>16</v>
      </c>
      <c r="S11" s="10">
        <f t="shared" si="3"/>
        <v>173</v>
      </c>
      <c r="T11" s="1">
        <f t="shared" si="4"/>
        <v>115.5</v>
      </c>
    </row>
    <row r="12" spans="1:44" x14ac:dyDescent="0.25">
      <c r="A12" t="s">
        <v>31</v>
      </c>
      <c r="B12" s="4" t="s">
        <v>32</v>
      </c>
      <c r="C12" s="11" t="s">
        <v>42</v>
      </c>
      <c r="D12" s="12">
        <v>0</v>
      </c>
      <c r="E12" s="13">
        <v>10</v>
      </c>
      <c r="F12" s="12">
        <v>14</v>
      </c>
      <c r="G12" s="13">
        <v>9</v>
      </c>
      <c r="H12" s="12">
        <v>9</v>
      </c>
      <c r="I12" s="13">
        <v>10</v>
      </c>
      <c r="J12" s="12">
        <v>14</v>
      </c>
      <c r="K12" s="8">
        <f>(22460+3505+185+125+1315)*1.04</f>
        <v>28693.600000000002</v>
      </c>
      <c r="L12" s="1">
        <v>0</v>
      </c>
      <c r="M12" s="1">
        <v>37</v>
      </c>
      <c r="N12" s="1">
        <v>68</v>
      </c>
      <c r="O12" s="1">
        <v>18</v>
      </c>
      <c r="P12" s="1">
        <v>23</v>
      </c>
      <c r="Q12" s="1">
        <v>33</v>
      </c>
      <c r="R12" s="1">
        <v>16</v>
      </c>
      <c r="S12" s="10">
        <f t="shared" si="3"/>
        <v>195</v>
      </c>
      <c r="T12" s="1">
        <f>(4.5+6.5+3.5+3.5+3.5+1)*7</f>
        <v>157.5</v>
      </c>
      <c r="AP12" s="34">
        <f>AP29+AP46+AP60+AP77</f>
        <v>5.625</v>
      </c>
    </row>
    <row r="13" spans="1:44" x14ac:dyDescent="0.25">
      <c r="A13" t="s">
        <v>33</v>
      </c>
      <c r="B13" s="4" t="s">
        <v>32</v>
      </c>
      <c r="C13" s="11" t="s">
        <v>73</v>
      </c>
      <c r="D13" s="12">
        <v>0</v>
      </c>
      <c r="E13" s="13">
        <v>10</v>
      </c>
      <c r="F13" s="12">
        <v>14</v>
      </c>
      <c r="G13" s="13">
        <v>9</v>
      </c>
      <c r="H13" s="12">
        <v>9</v>
      </c>
      <c r="I13" s="13">
        <v>10</v>
      </c>
      <c r="J13" s="12">
        <v>14</v>
      </c>
      <c r="K13" s="8">
        <f>(22460+3505+185+125+1315)*1.04</f>
        <v>28693.600000000002</v>
      </c>
      <c r="L13" s="1">
        <v>0</v>
      </c>
      <c r="M13" s="1">
        <v>37</v>
      </c>
      <c r="N13" s="1">
        <v>68</v>
      </c>
      <c r="O13" s="1">
        <v>18</v>
      </c>
      <c r="P13" s="1">
        <v>23</v>
      </c>
      <c r="Q13" s="1">
        <v>33</v>
      </c>
      <c r="R13" s="1">
        <v>16</v>
      </c>
      <c r="S13" s="10">
        <f>SUM(L13:R13)</f>
        <v>195</v>
      </c>
      <c r="T13" s="1">
        <f t="shared" ref="T13:T14" si="5">(4.5+6.5+3.5+3.5+3.5+1)*7</f>
        <v>157.5</v>
      </c>
    </row>
    <row r="14" spans="1:44" x14ac:dyDescent="0.25">
      <c r="A14" t="s">
        <v>34</v>
      </c>
      <c r="B14" s="4" t="s">
        <v>32</v>
      </c>
      <c r="C14" s="11" t="s">
        <v>42</v>
      </c>
      <c r="D14" s="12">
        <v>0</v>
      </c>
      <c r="E14" s="13">
        <v>10</v>
      </c>
      <c r="F14" s="12">
        <v>14</v>
      </c>
      <c r="G14" s="13">
        <v>9</v>
      </c>
      <c r="H14" s="12">
        <v>9</v>
      </c>
      <c r="I14" s="13">
        <v>10</v>
      </c>
      <c r="J14" s="12">
        <v>14</v>
      </c>
      <c r="K14" s="8">
        <f>(22460+3505+185+125+1315)*1.04</f>
        <v>28693.600000000002</v>
      </c>
      <c r="L14" s="1">
        <v>0</v>
      </c>
      <c r="M14" s="1">
        <v>37</v>
      </c>
      <c r="N14" s="1">
        <v>68</v>
      </c>
      <c r="O14" s="1">
        <v>18</v>
      </c>
      <c r="P14" s="1">
        <v>0</v>
      </c>
      <c r="Q14" s="1">
        <v>33</v>
      </c>
      <c r="R14" s="1">
        <v>16</v>
      </c>
      <c r="S14" s="10">
        <f>SUM(L14:R14)</f>
        <v>172</v>
      </c>
      <c r="T14" s="1">
        <f t="shared" si="5"/>
        <v>157.5</v>
      </c>
    </row>
    <row r="15" spans="1:44" x14ac:dyDescent="0.25">
      <c r="A15" t="s">
        <v>35</v>
      </c>
      <c r="B15" s="4" t="s">
        <v>76</v>
      </c>
      <c r="C15" s="11" t="s">
        <v>42</v>
      </c>
      <c r="D15" s="12">
        <v>0</v>
      </c>
      <c r="E15" s="13">
        <v>2</v>
      </c>
      <c r="F15" s="12">
        <v>14</v>
      </c>
      <c r="G15" s="13">
        <v>2</v>
      </c>
      <c r="H15" s="12">
        <v>10</v>
      </c>
      <c r="I15" s="13">
        <v>10</v>
      </c>
      <c r="J15" s="12">
        <v>19</v>
      </c>
      <c r="K15" s="8">
        <f>(22460+3505+195+245)*1.06</f>
        <v>27989.300000000003</v>
      </c>
      <c r="L15" s="1">
        <v>0</v>
      </c>
      <c r="M15" s="1">
        <v>0</v>
      </c>
      <c r="N15" s="1">
        <v>68</v>
      </c>
      <c r="O15" s="1">
        <v>0</v>
      </c>
      <c r="P15" s="1">
        <v>29</v>
      </c>
      <c r="Q15" s="1">
        <v>33</v>
      </c>
      <c r="R15" s="1">
        <v>33</v>
      </c>
      <c r="S15" s="10">
        <f t="shared" ref="S15:S16" si="6">SUM(L15:R15)</f>
        <v>163</v>
      </c>
      <c r="T15" s="1">
        <f>(6.5+3.5+3.5+2)*7</f>
        <v>108.5</v>
      </c>
    </row>
    <row r="16" spans="1:44" x14ac:dyDescent="0.25">
      <c r="A16" t="s">
        <v>37</v>
      </c>
      <c r="B16" s="4" t="s">
        <v>76</v>
      </c>
      <c r="C16" s="11" t="s">
        <v>82</v>
      </c>
      <c r="D16" s="12">
        <v>0</v>
      </c>
      <c r="E16" s="13">
        <v>2</v>
      </c>
      <c r="F16" s="12">
        <v>14</v>
      </c>
      <c r="G16" s="13">
        <v>2</v>
      </c>
      <c r="H16" s="12">
        <v>2</v>
      </c>
      <c r="I16" s="13">
        <v>10</v>
      </c>
      <c r="J16" s="12">
        <v>19</v>
      </c>
      <c r="K16" s="8">
        <f>(22460+3505+195+245)*1.06</f>
        <v>27989.300000000003</v>
      </c>
      <c r="L16" s="1">
        <v>0</v>
      </c>
      <c r="M16" s="1">
        <v>0</v>
      </c>
      <c r="N16" s="1">
        <v>68</v>
      </c>
      <c r="O16" s="1">
        <v>0</v>
      </c>
      <c r="P16" s="1">
        <v>0</v>
      </c>
      <c r="Q16" s="1">
        <v>33</v>
      </c>
      <c r="R16" s="1">
        <v>33</v>
      </c>
      <c r="S16" s="10">
        <f t="shared" si="6"/>
        <v>134</v>
      </c>
      <c r="T16" s="1">
        <f>(6.5+3.5+2)*7</f>
        <v>84</v>
      </c>
    </row>
    <row r="17" spans="1:43" x14ac:dyDescent="0.25">
      <c r="K17" s="28">
        <f>SUM(K19:K33)</f>
        <v>9183.9000000000015</v>
      </c>
      <c r="AE17" s="28">
        <f>SUM(AE19:AE33)</f>
        <v>13161.060000000001</v>
      </c>
    </row>
    <row r="18" spans="1:43" x14ac:dyDescent="0.25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  <c r="L18" s="3" t="s">
        <v>11</v>
      </c>
      <c r="M18" s="3" t="s">
        <v>12</v>
      </c>
      <c r="N18" s="3" t="s">
        <v>13</v>
      </c>
      <c r="O18" s="3" t="s">
        <v>14</v>
      </c>
      <c r="P18" s="3" t="s">
        <v>15</v>
      </c>
      <c r="Q18" s="3" t="s">
        <v>16</v>
      </c>
      <c r="R18" s="3" t="s">
        <v>17</v>
      </c>
      <c r="S18" s="3" t="s">
        <v>18</v>
      </c>
      <c r="U18" s="3" t="s">
        <v>0</v>
      </c>
      <c r="V18" s="3" t="s">
        <v>1</v>
      </c>
      <c r="W18" s="3" t="s">
        <v>2</v>
      </c>
      <c r="X18" s="3" t="s">
        <v>3</v>
      </c>
      <c r="Y18" s="3" t="s">
        <v>4</v>
      </c>
      <c r="Z18" s="3" t="s">
        <v>5</v>
      </c>
      <c r="AA18" s="3" t="s">
        <v>6</v>
      </c>
      <c r="AB18" s="3" t="s">
        <v>7</v>
      </c>
      <c r="AC18" s="3" t="s">
        <v>8</v>
      </c>
      <c r="AD18" s="3" t="s">
        <v>9</v>
      </c>
      <c r="AE18" s="3" t="s">
        <v>10</v>
      </c>
      <c r="AF18" s="3" t="s">
        <v>11</v>
      </c>
      <c r="AG18" s="3" t="s">
        <v>12</v>
      </c>
      <c r="AH18" s="3" t="s">
        <v>13</v>
      </c>
      <c r="AI18" s="3" t="s">
        <v>14</v>
      </c>
      <c r="AJ18" s="3" t="s">
        <v>15</v>
      </c>
      <c r="AK18" s="3" t="s">
        <v>16</v>
      </c>
      <c r="AL18" s="3" t="s">
        <v>17</v>
      </c>
      <c r="AM18" s="3" t="s">
        <v>18</v>
      </c>
    </row>
    <row r="19" spans="1:43" x14ac:dyDescent="0.25">
      <c r="B19" s="4"/>
      <c r="C19" s="5"/>
      <c r="D19" s="6">
        <v>2</v>
      </c>
      <c r="E19" s="7">
        <v>2</v>
      </c>
      <c r="F19" s="6">
        <v>0</v>
      </c>
      <c r="G19" s="7">
        <v>0</v>
      </c>
      <c r="H19" s="6">
        <v>0</v>
      </c>
      <c r="I19" s="7">
        <v>0</v>
      </c>
      <c r="J19" s="6">
        <v>2</v>
      </c>
      <c r="K19" s="8"/>
      <c r="L19" s="1">
        <v>0</v>
      </c>
      <c r="M19" s="1">
        <v>0</v>
      </c>
      <c r="N19" s="1">
        <v>0</v>
      </c>
      <c r="O19" s="9">
        <v>0</v>
      </c>
      <c r="P19" s="9">
        <v>0</v>
      </c>
      <c r="Q19" s="9">
        <v>0</v>
      </c>
      <c r="R19" s="9">
        <v>0</v>
      </c>
      <c r="S19" s="10">
        <f>SUM(L19:R19)</f>
        <v>0</v>
      </c>
      <c r="V19" s="4"/>
      <c r="W19" s="5"/>
      <c r="X19" s="6">
        <v>2</v>
      </c>
      <c r="Y19" s="7">
        <v>2</v>
      </c>
      <c r="Z19" s="6">
        <v>0</v>
      </c>
      <c r="AA19" s="7">
        <v>0</v>
      </c>
      <c r="AB19" s="6">
        <v>0</v>
      </c>
      <c r="AC19" s="7">
        <v>0</v>
      </c>
      <c r="AD19" s="6">
        <v>2</v>
      </c>
      <c r="AE19" s="8"/>
      <c r="AF19" s="1">
        <v>0</v>
      </c>
      <c r="AG19" s="1">
        <v>0</v>
      </c>
      <c r="AH19" s="1">
        <v>0</v>
      </c>
      <c r="AI19" s="9">
        <v>0</v>
      </c>
      <c r="AJ19" s="9">
        <v>0</v>
      </c>
      <c r="AK19" s="9">
        <v>0</v>
      </c>
      <c r="AL19" s="9">
        <v>0</v>
      </c>
      <c r="AM19" s="10">
        <f>SUM(AF19:AL19)</f>
        <v>0</v>
      </c>
    </row>
    <row r="20" spans="1:43" x14ac:dyDescent="0.25">
      <c r="B20" s="4"/>
      <c r="C20" s="11"/>
      <c r="D20" s="12">
        <v>0</v>
      </c>
      <c r="E20" s="13">
        <v>2</v>
      </c>
      <c r="F20" s="12">
        <v>2</v>
      </c>
      <c r="G20" s="13">
        <v>2</v>
      </c>
      <c r="H20" s="12">
        <v>2</v>
      </c>
      <c r="I20" s="13">
        <v>2</v>
      </c>
      <c r="J20" s="12">
        <v>2</v>
      </c>
      <c r="K20" s="8"/>
      <c r="L20" s="1">
        <v>0</v>
      </c>
      <c r="M20" s="1">
        <v>0</v>
      </c>
      <c r="N20" s="1">
        <v>0</v>
      </c>
      <c r="O20" s="9">
        <v>0</v>
      </c>
      <c r="P20" s="9">
        <v>0</v>
      </c>
      <c r="Q20" s="9">
        <v>0</v>
      </c>
      <c r="R20" s="9">
        <v>0</v>
      </c>
      <c r="S20" s="10">
        <f t="shared" ref="S20:S24" si="7">SUM(L20:R20)</f>
        <v>0</v>
      </c>
      <c r="V20" s="4"/>
      <c r="W20" s="11"/>
      <c r="X20" s="12">
        <v>0</v>
      </c>
      <c r="Y20" s="13">
        <v>2</v>
      </c>
      <c r="Z20" s="12">
        <v>2</v>
      </c>
      <c r="AA20" s="13">
        <v>2</v>
      </c>
      <c r="AB20" s="12">
        <v>2</v>
      </c>
      <c r="AC20" s="13">
        <v>2</v>
      </c>
      <c r="AD20" s="12">
        <v>2</v>
      </c>
      <c r="AE20" s="8"/>
      <c r="AF20" s="1">
        <v>0</v>
      </c>
      <c r="AG20" s="1">
        <v>0</v>
      </c>
      <c r="AH20" s="1">
        <v>0</v>
      </c>
      <c r="AI20" s="9">
        <v>0</v>
      </c>
      <c r="AJ20" s="9">
        <v>0</v>
      </c>
      <c r="AK20" s="9">
        <v>0</v>
      </c>
      <c r="AL20" s="9">
        <v>0</v>
      </c>
      <c r="AM20" s="10">
        <f t="shared" ref="AM20" si="8">SUM(AF20:AL20)</f>
        <v>0</v>
      </c>
    </row>
    <row r="21" spans="1:43" x14ac:dyDescent="0.25">
      <c r="B21" s="4"/>
      <c r="C21" s="11"/>
      <c r="D21" s="12">
        <v>0</v>
      </c>
      <c r="E21" s="13">
        <v>2</v>
      </c>
      <c r="F21" s="12">
        <v>2</v>
      </c>
      <c r="G21" s="13">
        <v>2</v>
      </c>
      <c r="H21" s="12">
        <v>2</v>
      </c>
      <c r="I21" s="13">
        <v>2</v>
      </c>
      <c r="J21" s="12">
        <v>2</v>
      </c>
      <c r="K21" s="8"/>
      <c r="L21" s="1">
        <v>0</v>
      </c>
      <c r="M21" s="1">
        <v>0</v>
      </c>
      <c r="N21" s="1">
        <v>0</v>
      </c>
      <c r="O21" s="9">
        <v>0</v>
      </c>
      <c r="P21" s="9">
        <v>0</v>
      </c>
      <c r="Q21" s="9">
        <v>0</v>
      </c>
      <c r="R21" s="9">
        <v>0</v>
      </c>
      <c r="S21" s="10">
        <f>SUM(L21:R21)</f>
        <v>0</v>
      </c>
      <c r="V21" s="4"/>
      <c r="W21" s="11"/>
      <c r="X21" s="12">
        <v>0</v>
      </c>
      <c r="Y21" s="13">
        <v>2</v>
      </c>
      <c r="Z21" s="12">
        <v>2</v>
      </c>
      <c r="AA21" s="13">
        <v>2</v>
      </c>
      <c r="AB21" s="12">
        <v>2</v>
      </c>
      <c r="AC21" s="13">
        <v>2</v>
      </c>
      <c r="AD21" s="12">
        <v>2</v>
      </c>
      <c r="AE21" s="8"/>
      <c r="AF21" s="1">
        <v>0</v>
      </c>
      <c r="AG21" s="1">
        <v>0</v>
      </c>
      <c r="AH21" s="1">
        <v>0</v>
      </c>
      <c r="AI21" s="9">
        <v>0</v>
      </c>
      <c r="AJ21" s="9">
        <v>0</v>
      </c>
      <c r="AK21" s="9">
        <v>0</v>
      </c>
      <c r="AL21" s="9">
        <v>0</v>
      </c>
      <c r="AM21" s="10">
        <f>SUM(AF21:AL21)</f>
        <v>0</v>
      </c>
    </row>
    <row r="22" spans="1:43" x14ac:dyDescent="0.25">
      <c r="B22" s="4"/>
      <c r="C22" s="11"/>
      <c r="D22" s="12">
        <v>0</v>
      </c>
      <c r="E22" s="13">
        <v>2</v>
      </c>
      <c r="F22" s="12">
        <v>2</v>
      </c>
      <c r="G22" s="13">
        <v>2</v>
      </c>
      <c r="H22" s="12">
        <v>2</v>
      </c>
      <c r="I22" s="13">
        <v>2</v>
      </c>
      <c r="J22" s="12">
        <v>2</v>
      </c>
      <c r="K22" s="8"/>
      <c r="L22" s="1">
        <v>0</v>
      </c>
      <c r="M22" s="1">
        <v>0</v>
      </c>
      <c r="N22" s="1">
        <v>0</v>
      </c>
      <c r="O22" s="9">
        <v>0</v>
      </c>
      <c r="P22" s="9">
        <v>0</v>
      </c>
      <c r="Q22" s="9">
        <v>0</v>
      </c>
      <c r="R22" s="9">
        <v>0</v>
      </c>
      <c r="S22" s="10">
        <f>SUM(L22:R22)</f>
        <v>0</v>
      </c>
      <c r="V22" s="4"/>
      <c r="W22" s="11"/>
      <c r="X22" s="12">
        <v>0</v>
      </c>
      <c r="Y22" s="13">
        <v>2</v>
      </c>
      <c r="Z22" s="12">
        <v>2</v>
      </c>
      <c r="AA22" s="13">
        <v>2</v>
      </c>
      <c r="AB22" s="12">
        <v>2</v>
      </c>
      <c r="AC22" s="13">
        <v>2</v>
      </c>
      <c r="AD22" s="12">
        <v>2</v>
      </c>
      <c r="AE22" s="8"/>
      <c r="AF22" s="1">
        <v>0</v>
      </c>
      <c r="AG22" s="1">
        <v>0</v>
      </c>
      <c r="AH22" s="1">
        <v>0</v>
      </c>
      <c r="AI22" s="9">
        <v>0</v>
      </c>
      <c r="AJ22" s="9">
        <v>0</v>
      </c>
      <c r="AK22" s="9">
        <v>0</v>
      </c>
      <c r="AL22" s="9">
        <v>0</v>
      </c>
      <c r="AM22" s="10">
        <f>SUM(AF22:AL22)</f>
        <v>0</v>
      </c>
    </row>
    <row r="23" spans="1:43" x14ac:dyDescent="0.25">
      <c r="B23" s="4"/>
      <c r="C23" s="11"/>
      <c r="D23" s="12">
        <v>0</v>
      </c>
      <c r="E23" s="13">
        <v>2</v>
      </c>
      <c r="F23" s="12">
        <v>2</v>
      </c>
      <c r="G23" s="13">
        <v>2</v>
      </c>
      <c r="H23" s="12">
        <v>2</v>
      </c>
      <c r="I23" s="13">
        <v>2</v>
      </c>
      <c r="J23" s="12">
        <v>2</v>
      </c>
      <c r="K23" s="8"/>
      <c r="L23" s="1">
        <v>0</v>
      </c>
      <c r="M23" s="1">
        <v>0</v>
      </c>
      <c r="N23" s="1">
        <v>0</v>
      </c>
      <c r="O23" s="9">
        <v>0</v>
      </c>
      <c r="P23" s="9">
        <v>0</v>
      </c>
      <c r="Q23" s="9">
        <v>0</v>
      </c>
      <c r="R23" s="9">
        <v>0</v>
      </c>
      <c r="S23" s="10">
        <f t="shared" si="7"/>
        <v>0</v>
      </c>
      <c r="V23" s="4"/>
      <c r="W23" s="11"/>
      <c r="X23" s="12">
        <v>0</v>
      </c>
      <c r="Y23" s="13">
        <v>2</v>
      </c>
      <c r="Z23" s="12">
        <v>2</v>
      </c>
      <c r="AA23" s="13">
        <v>2</v>
      </c>
      <c r="AB23" s="12">
        <v>2</v>
      </c>
      <c r="AC23" s="13">
        <v>2</v>
      </c>
      <c r="AD23" s="12">
        <v>2</v>
      </c>
      <c r="AE23" s="8"/>
      <c r="AF23" s="1">
        <v>0</v>
      </c>
      <c r="AG23" s="1">
        <v>0</v>
      </c>
      <c r="AH23" s="1">
        <v>0</v>
      </c>
      <c r="AI23" s="9">
        <v>0</v>
      </c>
      <c r="AJ23" s="9">
        <v>0</v>
      </c>
      <c r="AK23" s="9">
        <v>0</v>
      </c>
      <c r="AL23" s="9">
        <v>0</v>
      </c>
      <c r="AM23" s="10">
        <f t="shared" ref="AM23:AM24" si="9">SUM(AF23:AL23)</f>
        <v>0</v>
      </c>
    </row>
    <row r="24" spans="1:43" x14ac:dyDescent="0.25">
      <c r="B24" s="4"/>
      <c r="C24" s="11"/>
      <c r="D24" s="12">
        <v>0</v>
      </c>
      <c r="E24" s="13">
        <v>2</v>
      </c>
      <c r="F24" s="12">
        <v>2</v>
      </c>
      <c r="G24" s="13">
        <v>2</v>
      </c>
      <c r="H24" s="12">
        <v>2</v>
      </c>
      <c r="I24" s="13">
        <v>2</v>
      </c>
      <c r="J24" s="12">
        <v>2</v>
      </c>
      <c r="K24" s="8"/>
      <c r="L24" s="1">
        <v>0</v>
      </c>
      <c r="M24" s="1">
        <v>0</v>
      </c>
      <c r="N24" s="1">
        <v>0</v>
      </c>
      <c r="O24" s="9">
        <v>0</v>
      </c>
      <c r="P24" s="9">
        <v>0</v>
      </c>
      <c r="Q24" s="9">
        <v>0</v>
      </c>
      <c r="R24" s="9">
        <v>0</v>
      </c>
      <c r="S24" s="10">
        <f t="shared" si="7"/>
        <v>0</v>
      </c>
      <c r="V24" s="4"/>
      <c r="W24" s="11"/>
      <c r="X24" s="12">
        <v>0</v>
      </c>
      <c r="Y24" s="13">
        <v>2</v>
      </c>
      <c r="Z24" s="12">
        <v>2</v>
      </c>
      <c r="AA24" s="13">
        <v>2</v>
      </c>
      <c r="AB24" s="12">
        <v>2</v>
      </c>
      <c r="AC24" s="13">
        <v>2</v>
      </c>
      <c r="AD24" s="12">
        <v>2</v>
      </c>
      <c r="AE24" s="8"/>
      <c r="AF24" s="1">
        <v>0</v>
      </c>
      <c r="AG24" s="1">
        <v>0</v>
      </c>
      <c r="AH24" s="1">
        <v>0</v>
      </c>
      <c r="AI24" s="9">
        <v>0</v>
      </c>
      <c r="AJ24" s="9">
        <v>0</v>
      </c>
      <c r="AK24" s="9">
        <v>0</v>
      </c>
      <c r="AL24" s="9">
        <v>0</v>
      </c>
      <c r="AM24" s="10">
        <f t="shared" si="9"/>
        <v>0</v>
      </c>
    </row>
    <row r="25" spans="1:43" x14ac:dyDescent="0.25">
      <c r="B25" s="4"/>
      <c r="C25" s="11"/>
      <c r="D25" s="12">
        <v>0</v>
      </c>
      <c r="E25" s="13">
        <v>2</v>
      </c>
      <c r="F25" s="12">
        <v>2</v>
      </c>
      <c r="G25" s="13">
        <v>2</v>
      </c>
      <c r="H25" s="12">
        <v>2</v>
      </c>
      <c r="I25" s="13">
        <v>2</v>
      </c>
      <c r="J25" s="12">
        <v>2</v>
      </c>
      <c r="K25" s="8"/>
      <c r="L25" s="1">
        <v>0</v>
      </c>
      <c r="M25" s="1">
        <v>0</v>
      </c>
      <c r="N25" s="1">
        <v>0</v>
      </c>
      <c r="O25" s="9">
        <v>0</v>
      </c>
      <c r="P25" s="9">
        <v>0</v>
      </c>
      <c r="Q25" s="9">
        <v>0</v>
      </c>
      <c r="R25" s="9">
        <v>0</v>
      </c>
      <c r="S25" s="10">
        <f t="shared" ref="S25:S29" si="10">SUM(L25:R25)</f>
        <v>0</v>
      </c>
      <c r="V25" s="4"/>
      <c r="W25" s="11"/>
      <c r="X25" s="12">
        <v>0</v>
      </c>
      <c r="Y25" s="13">
        <v>2</v>
      </c>
      <c r="Z25" s="12">
        <v>2</v>
      </c>
      <c r="AA25" s="13">
        <v>2</v>
      </c>
      <c r="AB25" s="12">
        <v>2</v>
      </c>
      <c r="AC25" s="13">
        <v>2</v>
      </c>
      <c r="AD25" s="12">
        <v>2</v>
      </c>
      <c r="AE25" s="8"/>
      <c r="AF25" s="1">
        <v>0</v>
      </c>
      <c r="AG25" s="1">
        <v>0</v>
      </c>
      <c r="AH25" s="1">
        <v>0</v>
      </c>
      <c r="AI25" s="9">
        <v>0</v>
      </c>
      <c r="AJ25" s="9">
        <v>0</v>
      </c>
      <c r="AK25" s="9">
        <v>0</v>
      </c>
      <c r="AL25" s="9">
        <v>0</v>
      </c>
      <c r="AM25" s="10">
        <f t="shared" ref="AM25:AM29" si="11">SUM(AF25:AL25)</f>
        <v>0</v>
      </c>
    </row>
    <row r="26" spans="1:43" x14ac:dyDescent="0.25">
      <c r="B26" s="4"/>
      <c r="C26" s="11"/>
      <c r="D26" s="12">
        <v>0</v>
      </c>
      <c r="E26" s="13">
        <v>2</v>
      </c>
      <c r="F26" s="12">
        <v>2</v>
      </c>
      <c r="G26" s="13">
        <v>2</v>
      </c>
      <c r="H26" s="12">
        <v>2</v>
      </c>
      <c r="I26" s="13">
        <v>2</v>
      </c>
      <c r="J26" s="12">
        <v>2</v>
      </c>
      <c r="K26" s="8"/>
      <c r="L26" s="1">
        <v>0</v>
      </c>
      <c r="M26" s="1">
        <v>0</v>
      </c>
      <c r="N26" s="1">
        <v>0</v>
      </c>
      <c r="O26" s="9">
        <v>0</v>
      </c>
      <c r="P26" s="9">
        <v>0</v>
      </c>
      <c r="Q26" s="9">
        <v>0</v>
      </c>
      <c r="R26" s="9">
        <v>0</v>
      </c>
      <c r="S26" s="10">
        <f t="shared" si="10"/>
        <v>0</v>
      </c>
      <c r="V26" s="4"/>
      <c r="W26" s="11"/>
      <c r="X26" s="12">
        <v>0</v>
      </c>
      <c r="Y26" s="13">
        <v>2</v>
      </c>
      <c r="Z26" s="12">
        <v>2</v>
      </c>
      <c r="AA26" s="13">
        <v>2</v>
      </c>
      <c r="AB26" s="12">
        <v>2</v>
      </c>
      <c r="AC26" s="13">
        <v>2</v>
      </c>
      <c r="AD26" s="12">
        <v>2</v>
      </c>
      <c r="AE26" s="8"/>
      <c r="AF26" s="1">
        <v>0</v>
      </c>
      <c r="AG26" s="1">
        <v>0</v>
      </c>
      <c r="AH26" s="1">
        <v>0</v>
      </c>
      <c r="AI26" s="9">
        <v>0</v>
      </c>
      <c r="AJ26" s="9">
        <v>0</v>
      </c>
      <c r="AK26" s="9">
        <v>0</v>
      </c>
      <c r="AL26" s="9">
        <v>0</v>
      </c>
      <c r="AM26" s="10">
        <f t="shared" si="11"/>
        <v>0</v>
      </c>
    </row>
    <row r="27" spans="1:43" x14ac:dyDescent="0.25">
      <c r="B27" s="4"/>
      <c r="C27" s="11"/>
      <c r="D27" s="12">
        <v>0</v>
      </c>
      <c r="E27" s="13">
        <v>2</v>
      </c>
      <c r="F27" s="12">
        <v>2</v>
      </c>
      <c r="G27" s="13">
        <v>2</v>
      </c>
      <c r="H27" s="12">
        <v>2</v>
      </c>
      <c r="I27" s="13">
        <v>2</v>
      </c>
      <c r="J27" s="12">
        <v>2</v>
      </c>
      <c r="K27" s="8"/>
      <c r="L27" s="1">
        <v>0</v>
      </c>
      <c r="M27" s="1">
        <v>0</v>
      </c>
      <c r="N27" s="1">
        <v>0</v>
      </c>
      <c r="O27" s="9">
        <v>0</v>
      </c>
      <c r="P27" s="9">
        <v>0</v>
      </c>
      <c r="Q27" s="9">
        <v>0</v>
      </c>
      <c r="R27" s="9">
        <v>0</v>
      </c>
      <c r="S27" s="10">
        <f t="shared" si="10"/>
        <v>0</v>
      </c>
      <c r="V27" s="4"/>
      <c r="W27" s="11"/>
      <c r="X27" s="12">
        <v>0</v>
      </c>
      <c r="Y27" s="13">
        <v>2</v>
      </c>
      <c r="Z27" s="12">
        <v>2</v>
      </c>
      <c r="AA27" s="13">
        <v>2</v>
      </c>
      <c r="AB27" s="12">
        <v>2</v>
      </c>
      <c r="AC27" s="13">
        <v>2</v>
      </c>
      <c r="AD27" s="12">
        <v>2</v>
      </c>
      <c r="AE27" s="8"/>
      <c r="AF27" s="1">
        <v>0</v>
      </c>
      <c r="AG27" s="1">
        <v>0</v>
      </c>
      <c r="AH27" s="1">
        <v>0</v>
      </c>
      <c r="AI27" s="9">
        <v>0</v>
      </c>
      <c r="AJ27" s="9">
        <v>0</v>
      </c>
      <c r="AK27" s="9">
        <v>0</v>
      </c>
      <c r="AL27" s="9">
        <v>0</v>
      </c>
      <c r="AM27" s="10">
        <f t="shared" si="11"/>
        <v>0</v>
      </c>
    </row>
    <row r="28" spans="1:43" x14ac:dyDescent="0.25">
      <c r="B28" s="4"/>
      <c r="C28" s="11"/>
      <c r="D28" s="12">
        <v>0</v>
      </c>
      <c r="E28" s="13">
        <v>2</v>
      </c>
      <c r="F28" s="12">
        <v>2</v>
      </c>
      <c r="G28" s="13">
        <v>2</v>
      </c>
      <c r="H28" s="12">
        <v>2</v>
      </c>
      <c r="I28" s="13">
        <v>2</v>
      </c>
      <c r="J28" s="12">
        <v>2</v>
      </c>
      <c r="K28" s="8"/>
      <c r="L28" s="1">
        <v>0</v>
      </c>
      <c r="M28" s="1">
        <v>0</v>
      </c>
      <c r="N28" s="1">
        <v>0</v>
      </c>
      <c r="O28" s="9">
        <v>0</v>
      </c>
      <c r="P28" s="9">
        <v>0</v>
      </c>
      <c r="Q28" s="9">
        <v>0</v>
      </c>
      <c r="R28" s="9">
        <v>0</v>
      </c>
      <c r="S28" s="10">
        <f t="shared" si="10"/>
        <v>0</v>
      </c>
      <c r="V28" s="4"/>
      <c r="W28" s="11"/>
      <c r="X28" s="12">
        <v>0</v>
      </c>
      <c r="Y28" s="13">
        <v>2</v>
      </c>
      <c r="Z28" s="12">
        <v>2</v>
      </c>
      <c r="AA28" s="13">
        <v>2</v>
      </c>
      <c r="AB28" s="12">
        <v>2</v>
      </c>
      <c r="AC28" s="13">
        <v>2</v>
      </c>
      <c r="AD28" s="12">
        <v>2</v>
      </c>
      <c r="AE28" s="8"/>
      <c r="AF28" s="1">
        <v>0</v>
      </c>
      <c r="AG28" s="1">
        <v>0</v>
      </c>
      <c r="AH28" s="1">
        <v>0</v>
      </c>
      <c r="AI28" s="9">
        <v>0</v>
      </c>
      <c r="AJ28" s="9">
        <v>0</v>
      </c>
      <c r="AK28" s="9">
        <v>0</v>
      </c>
      <c r="AL28" s="9">
        <v>0</v>
      </c>
      <c r="AM28" s="10">
        <f t="shared" si="11"/>
        <v>0</v>
      </c>
      <c r="AO28" s="26" t="s">
        <v>83</v>
      </c>
      <c r="AP28" s="26" t="s">
        <v>84</v>
      </c>
    </row>
    <row r="29" spans="1:43" x14ac:dyDescent="0.25">
      <c r="A29" t="s">
        <v>31</v>
      </c>
      <c r="B29" s="4"/>
      <c r="C29" s="11" t="s">
        <v>73</v>
      </c>
      <c r="D29" s="12">
        <v>0</v>
      </c>
      <c r="E29" s="13">
        <v>2</v>
      </c>
      <c r="F29" s="12">
        <v>5</v>
      </c>
      <c r="G29" s="13">
        <v>5</v>
      </c>
      <c r="H29" s="12">
        <v>5</v>
      </c>
      <c r="I29" s="13">
        <v>10</v>
      </c>
      <c r="J29" s="12">
        <v>2</v>
      </c>
      <c r="K29" s="8">
        <f>(2630+135+125+135)*1.012</f>
        <v>3061.3</v>
      </c>
      <c r="L29" s="1">
        <v>0</v>
      </c>
      <c r="M29" s="1">
        <v>0</v>
      </c>
      <c r="N29" s="1">
        <v>9</v>
      </c>
      <c r="O29" s="9">
        <v>6</v>
      </c>
      <c r="P29" s="9">
        <v>7</v>
      </c>
      <c r="Q29" s="9">
        <v>33</v>
      </c>
      <c r="R29" s="9">
        <v>0</v>
      </c>
      <c r="S29" s="10">
        <f t="shared" si="10"/>
        <v>55</v>
      </c>
      <c r="U29" t="s">
        <v>31</v>
      </c>
      <c r="V29" s="4"/>
      <c r="W29" s="11" t="s">
        <v>73</v>
      </c>
      <c r="X29" s="12">
        <v>0</v>
      </c>
      <c r="Y29" s="13">
        <v>2</v>
      </c>
      <c r="Z29" s="12">
        <v>5</v>
      </c>
      <c r="AA29" s="13">
        <v>9</v>
      </c>
      <c r="AB29" s="12">
        <v>9</v>
      </c>
      <c r="AC29" s="13">
        <v>10</v>
      </c>
      <c r="AD29" s="12">
        <v>2</v>
      </c>
      <c r="AE29" s="8">
        <f>(2630+135+1570)*1.012</f>
        <v>4387.0200000000004</v>
      </c>
      <c r="AF29" s="1">
        <v>0</v>
      </c>
      <c r="AG29" s="1">
        <v>0</v>
      </c>
      <c r="AH29" s="1">
        <v>9</v>
      </c>
      <c r="AI29" s="9">
        <v>18</v>
      </c>
      <c r="AJ29" s="9">
        <v>23</v>
      </c>
      <c r="AK29" s="9">
        <v>33</v>
      </c>
      <c r="AL29" s="9">
        <v>0</v>
      </c>
      <c r="AM29" s="10">
        <f t="shared" si="11"/>
        <v>83</v>
      </c>
      <c r="AO29" s="26">
        <f>AM29-S29</f>
        <v>28</v>
      </c>
      <c r="AP29" s="27">
        <f>AO29/16</f>
        <v>1.75</v>
      </c>
      <c r="AQ29" t="s">
        <v>86</v>
      </c>
    </row>
    <row r="30" spans="1:43" x14ac:dyDescent="0.25">
      <c r="A30" t="s">
        <v>33</v>
      </c>
      <c r="B30" s="4"/>
      <c r="C30" s="11" t="s">
        <v>42</v>
      </c>
      <c r="D30" s="12">
        <v>0</v>
      </c>
      <c r="E30" s="13">
        <v>2</v>
      </c>
      <c r="F30" s="12">
        <v>5</v>
      </c>
      <c r="G30" s="13">
        <v>5</v>
      </c>
      <c r="H30" s="12">
        <v>5</v>
      </c>
      <c r="I30" s="13">
        <v>10</v>
      </c>
      <c r="J30" s="12">
        <v>2</v>
      </c>
      <c r="K30" s="8">
        <f>(2630+135+125+135)*1.012</f>
        <v>3061.3</v>
      </c>
      <c r="L30" s="1">
        <v>0</v>
      </c>
      <c r="M30" s="1">
        <v>0</v>
      </c>
      <c r="N30" s="1">
        <v>9</v>
      </c>
      <c r="O30" s="9">
        <v>6</v>
      </c>
      <c r="P30" s="9">
        <v>7</v>
      </c>
      <c r="Q30" s="9">
        <v>33</v>
      </c>
      <c r="R30" s="9">
        <v>0</v>
      </c>
      <c r="S30" s="10">
        <f>SUM(L30:R30)</f>
        <v>55</v>
      </c>
      <c r="U30" t="s">
        <v>33</v>
      </c>
      <c r="V30" s="4"/>
      <c r="W30" s="11" t="s">
        <v>42</v>
      </c>
      <c r="X30" s="12">
        <v>0</v>
      </c>
      <c r="Y30" s="13">
        <v>2</v>
      </c>
      <c r="Z30" s="12">
        <v>5</v>
      </c>
      <c r="AA30" s="13">
        <v>9</v>
      </c>
      <c r="AB30" s="12">
        <v>9</v>
      </c>
      <c r="AC30" s="13">
        <v>10</v>
      </c>
      <c r="AD30" s="12">
        <v>2</v>
      </c>
      <c r="AE30" s="8">
        <f>(2630+135+1570)*1.012</f>
        <v>4387.0200000000004</v>
      </c>
      <c r="AF30" s="1">
        <v>0</v>
      </c>
      <c r="AG30" s="1">
        <v>0</v>
      </c>
      <c r="AH30" s="1">
        <v>9</v>
      </c>
      <c r="AI30" s="9">
        <v>18</v>
      </c>
      <c r="AJ30" s="9">
        <v>23</v>
      </c>
      <c r="AK30" s="9">
        <v>33</v>
      </c>
      <c r="AL30" s="9">
        <v>0</v>
      </c>
      <c r="AM30" s="10">
        <f>SUM(AF30:AL30)</f>
        <v>83</v>
      </c>
    </row>
    <row r="31" spans="1:43" x14ac:dyDescent="0.25">
      <c r="A31" t="s">
        <v>34</v>
      </c>
      <c r="B31" s="4"/>
      <c r="C31" s="11" t="s">
        <v>42</v>
      </c>
      <c r="D31" s="12">
        <v>0</v>
      </c>
      <c r="E31" s="13">
        <v>2</v>
      </c>
      <c r="F31" s="12">
        <v>5</v>
      </c>
      <c r="G31" s="13">
        <v>5</v>
      </c>
      <c r="H31" s="12">
        <v>5</v>
      </c>
      <c r="I31" s="13">
        <v>10</v>
      </c>
      <c r="J31" s="12">
        <v>2</v>
      </c>
      <c r="K31" s="8">
        <f>(2630+135+125+135)*1.012</f>
        <v>3061.3</v>
      </c>
      <c r="L31" s="1">
        <v>0</v>
      </c>
      <c r="M31" s="1">
        <v>0</v>
      </c>
      <c r="N31" s="1">
        <v>9</v>
      </c>
      <c r="O31" s="9">
        <v>6</v>
      </c>
      <c r="P31" s="9">
        <v>7</v>
      </c>
      <c r="Q31" s="9">
        <v>33</v>
      </c>
      <c r="R31" s="9">
        <v>0</v>
      </c>
      <c r="S31" s="10">
        <f>SUM(L31:R31)</f>
        <v>55</v>
      </c>
      <c r="U31" t="s">
        <v>34</v>
      </c>
      <c r="V31" s="4"/>
      <c r="W31" s="11" t="s">
        <v>42</v>
      </c>
      <c r="X31" s="12">
        <v>0</v>
      </c>
      <c r="Y31" s="13">
        <v>2</v>
      </c>
      <c r="Z31" s="12">
        <v>5</v>
      </c>
      <c r="AA31" s="13">
        <v>9</v>
      </c>
      <c r="AB31" s="12">
        <v>9</v>
      </c>
      <c r="AC31" s="13">
        <v>10</v>
      </c>
      <c r="AD31" s="12">
        <v>2</v>
      </c>
      <c r="AE31" s="8">
        <f>(2630+135+1570)*1.012</f>
        <v>4387.0200000000004</v>
      </c>
      <c r="AF31" s="1">
        <v>0</v>
      </c>
      <c r="AG31" s="1">
        <v>0</v>
      </c>
      <c r="AH31" s="1">
        <v>9</v>
      </c>
      <c r="AI31" s="9">
        <v>18</v>
      </c>
      <c r="AJ31" s="9">
        <v>23</v>
      </c>
      <c r="AK31" s="9">
        <v>33</v>
      </c>
      <c r="AL31" s="9">
        <v>0</v>
      </c>
      <c r="AM31" s="10">
        <f>SUM(AF31:AL31)</f>
        <v>83</v>
      </c>
    </row>
    <row r="32" spans="1:43" x14ac:dyDescent="0.25">
      <c r="B32" s="4"/>
      <c r="C32" s="11"/>
      <c r="D32" s="12">
        <v>0</v>
      </c>
      <c r="E32" s="13">
        <v>2</v>
      </c>
      <c r="F32" s="12">
        <v>2</v>
      </c>
      <c r="G32" s="13">
        <v>2</v>
      </c>
      <c r="H32" s="12">
        <v>2</v>
      </c>
      <c r="I32" s="13">
        <v>2</v>
      </c>
      <c r="J32" s="12">
        <v>2</v>
      </c>
      <c r="K32" s="8"/>
      <c r="L32" s="1">
        <v>0</v>
      </c>
      <c r="M32" s="1">
        <v>0</v>
      </c>
      <c r="N32" s="1">
        <v>0</v>
      </c>
      <c r="O32" s="9">
        <v>0</v>
      </c>
      <c r="P32" s="9">
        <v>0</v>
      </c>
      <c r="Q32" s="9">
        <v>0</v>
      </c>
      <c r="R32" s="9">
        <v>0</v>
      </c>
      <c r="S32" s="10">
        <f t="shared" ref="S32:S33" si="12">SUM(L32:R32)</f>
        <v>0</v>
      </c>
      <c r="V32" s="4"/>
      <c r="W32" s="11"/>
      <c r="X32" s="12">
        <v>0</v>
      </c>
      <c r="Y32" s="13">
        <v>2</v>
      </c>
      <c r="Z32" s="12">
        <v>2</v>
      </c>
      <c r="AA32" s="13">
        <v>2</v>
      </c>
      <c r="AB32" s="12">
        <v>2</v>
      </c>
      <c r="AC32" s="13">
        <v>2</v>
      </c>
      <c r="AD32" s="12">
        <v>2</v>
      </c>
      <c r="AE32" s="8"/>
      <c r="AF32" s="1">
        <v>0</v>
      </c>
      <c r="AG32" s="1">
        <v>0</v>
      </c>
      <c r="AH32" s="1">
        <v>0</v>
      </c>
      <c r="AI32" s="9">
        <v>0</v>
      </c>
      <c r="AJ32" s="9">
        <v>0</v>
      </c>
      <c r="AK32" s="9">
        <v>0</v>
      </c>
      <c r="AL32" s="9">
        <v>0</v>
      </c>
      <c r="AM32" s="10">
        <f t="shared" ref="AM32:AM33" si="13">SUM(AF32:AL32)</f>
        <v>0</v>
      </c>
    </row>
    <row r="33" spans="1:43" x14ac:dyDescent="0.25">
      <c r="B33" s="4"/>
      <c r="C33" s="11"/>
      <c r="D33" s="12">
        <v>0</v>
      </c>
      <c r="E33" s="13">
        <v>2</v>
      </c>
      <c r="F33" s="12">
        <v>2</v>
      </c>
      <c r="G33" s="13">
        <v>2</v>
      </c>
      <c r="H33" s="12">
        <v>2</v>
      </c>
      <c r="I33" s="13">
        <v>2</v>
      </c>
      <c r="J33" s="12">
        <v>2</v>
      </c>
      <c r="K33" s="8"/>
      <c r="L33" s="1">
        <v>0</v>
      </c>
      <c r="M33" s="1">
        <v>0</v>
      </c>
      <c r="N33" s="1">
        <v>0</v>
      </c>
      <c r="O33" s="9">
        <v>0</v>
      </c>
      <c r="P33" s="9">
        <v>0</v>
      </c>
      <c r="Q33" s="9">
        <v>0</v>
      </c>
      <c r="R33" s="9">
        <v>0</v>
      </c>
      <c r="S33" s="10">
        <f t="shared" si="12"/>
        <v>0</v>
      </c>
      <c r="V33" s="4"/>
      <c r="W33" s="11"/>
      <c r="X33" s="12">
        <v>0</v>
      </c>
      <c r="Y33" s="13">
        <v>2</v>
      </c>
      <c r="Z33" s="12">
        <v>2</v>
      </c>
      <c r="AA33" s="13">
        <v>2</v>
      </c>
      <c r="AB33" s="12">
        <v>2</v>
      </c>
      <c r="AC33" s="13">
        <v>2</v>
      </c>
      <c r="AD33" s="12">
        <v>2</v>
      </c>
      <c r="AE33" s="8"/>
      <c r="AF33" s="1">
        <v>0</v>
      </c>
      <c r="AG33" s="1">
        <v>0</v>
      </c>
      <c r="AH33" s="1">
        <v>0</v>
      </c>
      <c r="AI33" s="9">
        <v>0</v>
      </c>
      <c r="AJ33" s="9">
        <v>0</v>
      </c>
      <c r="AK33" s="9">
        <v>0</v>
      </c>
      <c r="AL33" s="9">
        <v>0</v>
      </c>
      <c r="AM33" s="10">
        <f t="shared" si="13"/>
        <v>0</v>
      </c>
    </row>
    <row r="34" spans="1:43" x14ac:dyDescent="0.25">
      <c r="K34" s="28">
        <f>SUM(K36:K50)</f>
        <v>32689.860000000004</v>
      </c>
      <c r="AE34" s="28">
        <f>SUM(AE36:AE50)</f>
        <v>63956.46</v>
      </c>
    </row>
    <row r="35" spans="1:43" x14ac:dyDescent="0.25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9</v>
      </c>
      <c r="K35" s="3" t="s">
        <v>10</v>
      </c>
      <c r="L35" s="3" t="s">
        <v>11</v>
      </c>
      <c r="M35" s="3" t="s">
        <v>12</v>
      </c>
      <c r="N35" s="3" t="s">
        <v>13</v>
      </c>
      <c r="O35" s="3" t="s">
        <v>14</v>
      </c>
      <c r="P35" s="3" t="s">
        <v>15</v>
      </c>
      <c r="Q35" s="3" t="s">
        <v>16</v>
      </c>
      <c r="R35" s="3" t="s">
        <v>17</v>
      </c>
      <c r="S35" s="3" t="s">
        <v>18</v>
      </c>
      <c r="U35" s="3" t="s">
        <v>0</v>
      </c>
      <c r="V35" s="3" t="s">
        <v>1</v>
      </c>
      <c r="W35" s="3" t="s">
        <v>2</v>
      </c>
      <c r="X35" s="3" t="s">
        <v>3</v>
      </c>
      <c r="Y35" s="3" t="s">
        <v>4</v>
      </c>
      <c r="Z35" s="3" t="s">
        <v>5</v>
      </c>
      <c r="AA35" s="3" t="s">
        <v>6</v>
      </c>
      <c r="AB35" s="3" t="s">
        <v>7</v>
      </c>
      <c r="AC35" s="3" t="s">
        <v>8</v>
      </c>
      <c r="AD35" s="3" t="s">
        <v>9</v>
      </c>
      <c r="AE35" s="3" t="s">
        <v>10</v>
      </c>
      <c r="AF35" s="3" t="s">
        <v>11</v>
      </c>
      <c r="AG35" s="3" t="s">
        <v>12</v>
      </c>
      <c r="AH35" s="3" t="s">
        <v>13</v>
      </c>
      <c r="AI35" s="3" t="s">
        <v>14</v>
      </c>
      <c r="AJ35" s="3" t="s">
        <v>15</v>
      </c>
      <c r="AK35" s="3" t="s">
        <v>16</v>
      </c>
      <c r="AL35" s="3" t="s">
        <v>17</v>
      </c>
      <c r="AM35" s="3" t="s">
        <v>18</v>
      </c>
    </row>
    <row r="36" spans="1:43" x14ac:dyDescent="0.25">
      <c r="B36" s="4"/>
      <c r="C36" s="5"/>
      <c r="D36" s="6">
        <v>2</v>
      </c>
      <c r="E36" s="7">
        <v>2</v>
      </c>
      <c r="F36" s="6">
        <v>0</v>
      </c>
      <c r="G36" s="7">
        <v>0</v>
      </c>
      <c r="H36" s="6">
        <v>0</v>
      </c>
      <c r="I36" s="7">
        <v>0</v>
      </c>
      <c r="J36" s="6">
        <v>2</v>
      </c>
      <c r="K36" s="8"/>
      <c r="L36" s="1">
        <v>0</v>
      </c>
      <c r="M36" s="1">
        <v>0</v>
      </c>
      <c r="N36" s="1">
        <v>0</v>
      </c>
      <c r="O36" s="9">
        <v>0</v>
      </c>
      <c r="P36" s="9">
        <v>0</v>
      </c>
      <c r="Q36" s="9">
        <v>0</v>
      </c>
      <c r="R36" s="9">
        <v>0</v>
      </c>
      <c r="S36" s="10">
        <f>SUM(L36:R36)</f>
        <v>0</v>
      </c>
      <c r="V36" s="4"/>
      <c r="W36" s="5"/>
      <c r="X36" s="6">
        <v>2</v>
      </c>
      <c r="Y36" s="7">
        <v>2</v>
      </c>
      <c r="Z36" s="6">
        <v>0</v>
      </c>
      <c r="AA36" s="7">
        <v>0</v>
      </c>
      <c r="AB36" s="6">
        <v>0</v>
      </c>
      <c r="AC36" s="7">
        <v>0</v>
      </c>
      <c r="AD36" s="6">
        <v>2</v>
      </c>
      <c r="AE36" s="8"/>
      <c r="AF36" s="1">
        <v>0</v>
      </c>
      <c r="AG36" s="1">
        <v>0</v>
      </c>
      <c r="AH36" s="1">
        <v>0</v>
      </c>
      <c r="AI36" s="9">
        <v>0</v>
      </c>
      <c r="AJ36" s="9">
        <v>0</v>
      </c>
      <c r="AK36" s="9">
        <v>0</v>
      </c>
      <c r="AL36" s="9">
        <v>0</v>
      </c>
      <c r="AM36" s="10">
        <f>SUM(AF36:AL36)</f>
        <v>0</v>
      </c>
    </row>
    <row r="37" spans="1:43" x14ac:dyDescent="0.25">
      <c r="B37" s="4"/>
      <c r="C37" s="11"/>
      <c r="D37" s="12">
        <v>0</v>
      </c>
      <c r="E37" s="13">
        <v>2</v>
      </c>
      <c r="F37" s="12">
        <v>2</v>
      </c>
      <c r="G37" s="13">
        <v>2</v>
      </c>
      <c r="H37" s="12">
        <v>2</v>
      </c>
      <c r="I37" s="13">
        <v>2</v>
      </c>
      <c r="J37" s="12">
        <v>2</v>
      </c>
      <c r="K37" s="8"/>
      <c r="L37" s="1">
        <v>0</v>
      </c>
      <c r="M37" s="1">
        <v>0</v>
      </c>
      <c r="N37" s="1">
        <v>0</v>
      </c>
      <c r="O37" s="9">
        <v>0</v>
      </c>
      <c r="P37" s="9">
        <v>0</v>
      </c>
      <c r="Q37" s="9">
        <v>0</v>
      </c>
      <c r="R37" s="9">
        <v>0</v>
      </c>
      <c r="S37" s="10">
        <f t="shared" ref="S37" si="14">SUM(L37:R37)</f>
        <v>0</v>
      </c>
      <c r="V37" s="4"/>
      <c r="W37" s="11"/>
      <c r="X37" s="12">
        <v>0</v>
      </c>
      <c r="Y37" s="13">
        <v>2</v>
      </c>
      <c r="Z37" s="12">
        <v>2</v>
      </c>
      <c r="AA37" s="13">
        <v>2</v>
      </c>
      <c r="AB37" s="12">
        <v>2</v>
      </c>
      <c r="AC37" s="13">
        <v>2</v>
      </c>
      <c r="AD37" s="12">
        <v>2</v>
      </c>
      <c r="AE37" s="8"/>
      <c r="AF37" s="1">
        <v>0</v>
      </c>
      <c r="AG37" s="1">
        <v>0</v>
      </c>
      <c r="AH37" s="1">
        <v>0</v>
      </c>
      <c r="AI37" s="9">
        <v>0</v>
      </c>
      <c r="AJ37" s="9">
        <v>0</v>
      </c>
      <c r="AK37" s="9">
        <v>0</v>
      </c>
      <c r="AL37" s="9">
        <v>0</v>
      </c>
      <c r="AM37" s="10">
        <f t="shared" ref="AM37" si="15">SUM(AF37:AL37)</f>
        <v>0</v>
      </c>
    </row>
    <row r="38" spans="1:43" x14ac:dyDescent="0.25">
      <c r="B38" s="4"/>
      <c r="C38" s="11"/>
      <c r="D38" s="12">
        <v>0</v>
      </c>
      <c r="E38" s="13">
        <v>2</v>
      </c>
      <c r="F38" s="12">
        <v>2</v>
      </c>
      <c r="G38" s="13">
        <v>2</v>
      </c>
      <c r="H38" s="12">
        <v>2</v>
      </c>
      <c r="I38" s="13">
        <v>2</v>
      </c>
      <c r="J38" s="12">
        <v>2</v>
      </c>
      <c r="K38" s="8"/>
      <c r="L38" s="1">
        <v>0</v>
      </c>
      <c r="M38" s="1">
        <v>0</v>
      </c>
      <c r="N38" s="1">
        <v>0</v>
      </c>
      <c r="O38" s="9">
        <v>0</v>
      </c>
      <c r="P38" s="9">
        <v>0</v>
      </c>
      <c r="Q38" s="9">
        <v>0</v>
      </c>
      <c r="R38" s="9">
        <v>0</v>
      </c>
      <c r="S38" s="10">
        <f>SUM(L38:R38)</f>
        <v>0</v>
      </c>
      <c r="V38" s="4"/>
      <c r="W38" s="11"/>
      <c r="X38" s="12">
        <v>0</v>
      </c>
      <c r="Y38" s="13">
        <v>2</v>
      </c>
      <c r="Z38" s="12">
        <v>2</v>
      </c>
      <c r="AA38" s="13">
        <v>2</v>
      </c>
      <c r="AB38" s="12">
        <v>2</v>
      </c>
      <c r="AC38" s="13">
        <v>2</v>
      </c>
      <c r="AD38" s="12">
        <v>2</v>
      </c>
      <c r="AE38" s="8"/>
      <c r="AF38" s="1">
        <v>0</v>
      </c>
      <c r="AG38" s="1">
        <v>0</v>
      </c>
      <c r="AH38" s="1">
        <v>0</v>
      </c>
      <c r="AI38" s="9">
        <v>0</v>
      </c>
      <c r="AJ38" s="9">
        <v>0</v>
      </c>
      <c r="AK38" s="9">
        <v>0</v>
      </c>
      <c r="AL38" s="9">
        <v>0</v>
      </c>
      <c r="AM38" s="10">
        <f>SUM(AF38:AL38)</f>
        <v>0</v>
      </c>
    </row>
    <row r="39" spans="1:43" x14ac:dyDescent="0.25">
      <c r="B39" s="4"/>
      <c r="C39" s="11"/>
      <c r="D39" s="12">
        <v>0</v>
      </c>
      <c r="E39" s="13">
        <v>2</v>
      </c>
      <c r="F39" s="12">
        <v>2</v>
      </c>
      <c r="G39" s="13">
        <v>2</v>
      </c>
      <c r="H39" s="12">
        <v>2</v>
      </c>
      <c r="I39" s="13">
        <v>2</v>
      </c>
      <c r="J39" s="12">
        <v>2</v>
      </c>
      <c r="K39" s="8"/>
      <c r="L39" s="1">
        <v>0</v>
      </c>
      <c r="M39" s="1">
        <v>0</v>
      </c>
      <c r="N39" s="1">
        <v>0</v>
      </c>
      <c r="O39" s="9">
        <v>0</v>
      </c>
      <c r="P39" s="9">
        <v>0</v>
      </c>
      <c r="Q39" s="9">
        <v>0</v>
      </c>
      <c r="R39" s="9">
        <v>0</v>
      </c>
      <c r="S39" s="10">
        <f>SUM(L39:R39)</f>
        <v>0</v>
      </c>
      <c r="V39" s="4"/>
      <c r="W39" s="11"/>
      <c r="X39" s="12">
        <v>0</v>
      </c>
      <c r="Y39" s="13">
        <v>2</v>
      </c>
      <c r="Z39" s="12">
        <v>2</v>
      </c>
      <c r="AA39" s="13">
        <v>2</v>
      </c>
      <c r="AB39" s="12">
        <v>2</v>
      </c>
      <c r="AC39" s="13">
        <v>2</v>
      </c>
      <c r="AD39" s="12">
        <v>2</v>
      </c>
      <c r="AE39" s="8"/>
      <c r="AF39" s="1">
        <v>0</v>
      </c>
      <c r="AG39" s="1">
        <v>0</v>
      </c>
      <c r="AH39" s="1">
        <v>0</v>
      </c>
      <c r="AI39" s="9">
        <v>0</v>
      </c>
      <c r="AJ39" s="9">
        <v>0</v>
      </c>
      <c r="AK39" s="9">
        <v>0</v>
      </c>
      <c r="AL39" s="9">
        <v>0</v>
      </c>
      <c r="AM39" s="10">
        <f>SUM(AF39:AL39)</f>
        <v>0</v>
      </c>
    </row>
    <row r="40" spans="1:43" x14ac:dyDescent="0.25">
      <c r="B40" s="4"/>
      <c r="C40" s="11"/>
      <c r="D40" s="12">
        <v>0</v>
      </c>
      <c r="E40" s="13">
        <v>2</v>
      </c>
      <c r="F40" s="12">
        <v>2</v>
      </c>
      <c r="G40" s="13">
        <v>2</v>
      </c>
      <c r="H40" s="12">
        <v>2</v>
      </c>
      <c r="I40" s="13">
        <v>2</v>
      </c>
      <c r="J40" s="12">
        <v>2</v>
      </c>
      <c r="K40" s="8"/>
      <c r="L40" s="1">
        <v>0</v>
      </c>
      <c r="M40" s="1">
        <v>0</v>
      </c>
      <c r="N40" s="1">
        <v>0</v>
      </c>
      <c r="O40" s="9">
        <v>0</v>
      </c>
      <c r="P40" s="9">
        <v>0</v>
      </c>
      <c r="Q40" s="9">
        <v>0</v>
      </c>
      <c r="R40" s="9">
        <v>0</v>
      </c>
      <c r="S40" s="10">
        <f t="shared" ref="S40:S41" si="16">SUM(L40:R40)</f>
        <v>0</v>
      </c>
      <c r="V40" s="4"/>
      <c r="W40" s="11"/>
      <c r="X40" s="12">
        <v>0</v>
      </c>
      <c r="Y40" s="13">
        <v>2</v>
      </c>
      <c r="Z40" s="12">
        <v>2</v>
      </c>
      <c r="AA40" s="13">
        <v>2</v>
      </c>
      <c r="AB40" s="12">
        <v>2</v>
      </c>
      <c r="AC40" s="13">
        <v>2</v>
      </c>
      <c r="AD40" s="12">
        <v>2</v>
      </c>
      <c r="AE40" s="8"/>
      <c r="AF40" s="1">
        <v>0</v>
      </c>
      <c r="AG40" s="1">
        <v>0</v>
      </c>
      <c r="AH40" s="1">
        <v>0</v>
      </c>
      <c r="AI40" s="9">
        <v>0</v>
      </c>
      <c r="AJ40" s="9">
        <v>0</v>
      </c>
      <c r="AK40" s="9">
        <v>0</v>
      </c>
      <c r="AL40" s="9">
        <v>0</v>
      </c>
      <c r="AM40" s="10">
        <f t="shared" ref="AM40:AM41" si="17">SUM(AF40:AL40)</f>
        <v>0</v>
      </c>
    </row>
    <row r="41" spans="1:43" x14ac:dyDescent="0.25">
      <c r="B41" s="4"/>
      <c r="C41" s="11"/>
      <c r="D41" s="12">
        <v>0</v>
      </c>
      <c r="E41" s="13">
        <v>2</v>
      </c>
      <c r="F41" s="12">
        <v>2</v>
      </c>
      <c r="G41" s="13">
        <v>2</v>
      </c>
      <c r="H41" s="12">
        <v>2</v>
      </c>
      <c r="I41" s="13">
        <v>2</v>
      </c>
      <c r="J41" s="12">
        <v>2</v>
      </c>
      <c r="K41" s="8"/>
      <c r="L41" s="1">
        <v>0</v>
      </c>
      <c r="M41" s="1">
        <v>0</v>
      </c>
      <c r="N41" s="1">
        <v>0</v>
      </c>
      <c r="O41" s="9">
        <v>0</v>
      </c>
      <c r="P41" s="9">
        <v>0</v>
      </c>
      <c r="Q41" s="9">
        <v>0</v>
      </c>
      <c r="R41" s="9">
        <v>0</v>
      </c>
      <c r="S41" s="10">
        <f t="shared" si="16"/>
        <v>0</v>
      </c>
      <c r="V41" s="4"/>
      <c r="W41" s="11"/>
      <c r="X41" s="12">
        <v>0</v>
      </c>
      <c r="Y41" s="13">
        <v>2</v>
      </c>
      <c r="Z41" s="12">
        <v>2</v>
      </c>
      <c r="AA41" s="13">
        <v>2</v>
      </c>
      <c r="AB41" s="12">
        <v>2</v>
      </c>
      <c r="AC41" s="13">
        <v>2</v>
      </c>
      <c r="AD41" s="12">
        <v>2</v>
      </c>
      <c r="AE41" s="8"/>
      <c r="AF41" s="1">
        <v>0</v>
      </c>
      <c r="AG41" s="1">
        <v>0</v>
      </c>
      <c r="AH41" s="1">
        <v>0</v>
      </c>
      <c r="AI41" s="9">
        <v>0</v>
      </c>
      <c r="AJ41" s="9">
        <v>0</v>
      </c>
      <c r="AK41" s="9">
        <v>0</v>
      </c>
      <c r="AL41" s="9">
        <v>0</v>
      </c>
      <c r="AM41" s="10">
        <f t="shared" si="17"/>
        <v>0</v>
      </c>
    </row>
    <row r="42" spans="1:43" x14ac:dyDescent="0.25">
      <c r="B42" s="4"/>
      <c r="C42" s="11"/>
      <c r="D42" s="12">
        <v>0</v>
      </c>
      <c r="E42" s="13">
        <v>2</v>
      </c>
      <c r="F42" s="12">
        <v>2</v>
      </c>
      <c r="G42" s="13">
        <v>2</v>
      </c>
      <c r="H42" s="12">
        <v>2</v>
      </c>
      <c r="I42" s="13">
        <v>2</v>
      </c>
      <c r="J42" s="12">
        <v>2</v>
      </c>
      <c r="K42" s="8"/>
      <c r="L42" s="1">
        <v>0</v>
      </c>
      <c r="M42" s="1">
        <v>0</v>
      </c>
      <c r="N42" s="1">
        <v>0</v>
      </c>
      <c r="O42" s="9">
        <v>0</v>
      </c>
      <c r="P42" s="9">
        <v>0</v>
      </c>
      <c r="Q42" s="9">
        <v>0</v>
      </c>
      <c r="R42" s="9">
        <v>0</v>
      </c>
      <c r="S42" s="10">
        <f t="shared" ref="S42:S46" si="18">SUM(L42:R42)</f>
        <v>0</v>
      </c>
      <c r="V42" s="4"/>
      <c r="W42" s="11"/>
      <c r="X42" s="12">
        <v>0</v>
      </c>
      <c r="Y42" s="13">
        <v>2</v>
      </c>
      <c r="Z42" s="12">
        <v>2</v>
      </c>
      <c r="AA42" s="13">
        <v>2</v>
      </c>
      <c r="AB42" s="12">
        <v>2</v>
      </c>
      <c r="AC42" s="13">
        <v>2</v>
      </c>
      <c r="AD42" s="12">
        <v>2</v>
      </c>
      <c r="AE42" s="8"/>
      <c r="AF42" s="1">
        <v>0</v>
      </c>
      <c r="AG42" s="1">
        <v>0</v>
      </c>
      <c r="AH42" s="1">
        <v>0</v>
      </c>
      <c r="AI42" s="9">
        <v>0</v>
      </c>
      <c r="AJ42" s="9">
        <v>0</v>
      </c>
      <c r="AK42" s="9">
        <v>0</v>
      </c>
      <c r="AL42" s="9">
        <v>0</v>
      </c>
      <c r="AM42" s="10">
        <f t="shared" ref="AM42:AM46" si="19">SUM(AF42:AL42)</f>
        <v>0</v>
      </c>
    </row>
    <row r="43" spans="1:43" x14ac:dyDescent="0.25">
      <c r="A43" t="s">
        <v>28</v>
      </c>
      <c r="B43" s="4"/>
      <c r="C43" s="11" t="s">
        <v>74</v>
      </c>
      <c r="D43" s="12">
        <v>0</v>
      </c>
      <c r="E43" s="13">
        <v>2</v>
      </c>
      <c r="F43" s="12">
        <v>11</v>
      </c>
      <c r="G43" s="13">
        <v>2</v>
      </c>
      <c r="H43" s="12">
        <v>2</v>
      </c>
      <c r="I43" s="13">
        <v>10</v>
      </c>
      <c r="J43" s="12">
        <v>10</v>
      </c>
      <c r="K43" s="8">
        <f>(5010+1310)*1.03</f>
        <v>6509.6</v>
      </c>
      <c r="L43" s="1">
        <v>0</v>
      </c>
      <c r="M43" s="1">
        <v>0</v>
      </c>
      <c r="N43" s="1">
        <v>40</v>
      </c>
      <c r="O43" s="9">
        <v>0</v>
      </c>
      <c r="P43" s="9">
        <v>0</v>
      </c>
      <c r="Q43" s="9">
        <v>33</v>
      </c>
      <c r="R43" s="9">
        <v>8</v>
      </c>
      <c r="S43" s="10">
        <f t="shared" si="18"/>
        <v>81</v>
      </c>
      <c r="U43" t="s">
        <v>28</v>
      </c>
      <c r="V43" s="4"/>
      <c r="W43" s="11" t="s">
        <v>74</v>
      </c>
      <c r="X43" s="12">
        <v>0</v>
      </c>
      <c r="Y43" s="13">
        <v>2</v>
      </c>
      <c r="Z43" s="12">
        <v>13</v>
      </c>
      <c r="AA43" s="13">
        <v>2</v>
      </c>
      <c r="AB43" s="12">
        <v>2</v>
      </c>
      <c r="AC43" s="13">
        <v>10</v>
      </c>
      <c r="AD43" s="12">
        <v>10</v>
      </c>
      <c r="AE43" s="8">
        <f>(14490+1310)*1.03</f>
        <v>16274</v>
      </c>
      <c r="AF43" s="1">
        <v>0</v>
      </c>
      <c r="AG43" s="1">
        <v>0</v>
      </c>
      <c r="AH43" s="1">
        <v>58</v>
      </c>
      <c r="AI43" s="9">
        <v>0</v>
      </c>
      <c r="AJ43" s="9">
        <v>0</v>
      </c>
      <c r="AK43" s="9">
        <v>33</v>
      </c>
      <c r="AL43" s="9">
        <v>8</v>
      </c>
      <c r="AM43" s="10">
        <f t="shared" si="19"/>
        <v>99</v>
      </c>
    </row>
    <row r="44" spans="1:43" x14ac:dyDescent="0.25">
      <c r="A44" t="s">
        <v>29</v>
      </c>
      <c r="B44" s="4"/>
      <c r="C44" s="11" t="s">
        <v>50</v>
      </c>
      <c r="D44" s="12">
        <v>0</v>
      </c>
      <c r="E44" s="13">
        <v>2</v>
      </c>
      <c r="F44" s="12">
        <v>11</v>
      </c>
      <c r="G44" s="13">
        <v>2</v>
      </c>
      <c r="H44" s="12">
        <v>2</v>
      </c>
      <c r="I44" s="13">
        <v>10</v>
      </c>
      <c r="J44" s="12">
        <v>10</v>
      </c>
      <c r="K44" s="8">
        <f>(5010+1310)*1.03</f>
        <v>6509.6</v>
      </c>
      <c r="L44" s="1">
        <v>0</v>
      </c>
      <c r="M44" s="1">
        <v>0</v>
      </c>
      <c r="N44" s="1">
        <v>40</v>
      </c>
      <c r="O44" s="9">
        <v>0</v>
      </c>
      <c r="P44" s="9">
        <v>0</v>
      </c>
      <c r="Q44" s="9">
        <v>33</v>
      </c>
      <c r="R44" s="9">
        <v>8</v>
      </c>
      <c r="S44" s="10">
        <f t="shared" si="18"/>
        <v>81</v>
      </c>
      <c r="U44" t="s">
        <v>29</v>
      </c>
      <c r="V44" s="4"/>
      <c r="W44" s="11" t="s">
        <v>50</v>
      </c>
      <c r="X44" s="12">
        <v>0</v>
      </c>
      <c r="Y44" s="13">
        <v>2</v>
      </c>
      <c r="Z44" s="12">
        <v>13</v>
      </c>
      <c r="AA44" s="13">
        <v>2</v>
      </c>
      <c r="AB44" s="12">
        <v>2</v>
      </c>
      <c r="AC44" s="13">
        <v>10</v>
      </c>
      <c r="AD44" s="12">
        <v>10</v>
      </c>
      <c r="AE44" s="8">
        <f>(14490+1310)*1.03</f>
        <v>16274</v>
      </c>
      <c r="AF44" s="1">
        <v>0</v>
      </c>
      <c r="AG44" s="1">
        <v>0</v>
      </c>
      <c r="AH44" s="1">
        <v>58</v>
      </c>
      <c r="AI44" s="9">
        <v>0</v>
      </c>
      <c r="AJ44" s="9">
        <v>0</v>
      </c>
      <c r="AK44" s="9">
        <v>33</v>
      </c>
      <c r="AL44" s="9">
        <v>8</v>
      </c>
      <c r="AM44" s="10">
        <f t="shared" si="19"/>
        <v>99</v>
      </c>
    </row>
    <row r="45" spans="1:43" x14ac:dyDescent="0.25">
      <c r="A45" t="s">
        <v>72</v>
      </c>
      <c r="B45" s="4"/>
      <c r="C45" s="11" t="s">
        <v>50</v>
      </c>
      <c r="D45" s="12">
        <v>0</v>
      </c>
      <c r="E45" s="13">
        <v>2</v>
      </c>
      <c r="F45" s="12">
        <v>11</v>
      </c>
      <c r="G45" s="13">
        <v>2</v>
      </c>
      <c r="H45" s="12">
        <v>2</v>
      </c>
      <c r="I45" s="13">
        <v>10</v>
      </c>
      <c r="J45" s="12">
        <v>10</v>
      </c>
      <c r="K45" s="8">
        <f>(5010+1310)*1.03</f>
        <v>6509.6</v>
      </c>
      <c r="L45" s="1">
        <v>0</v>
      </c>
      <c r="M45" s="1">
        <v>0</v>
      </c>
      <c r="N45" s="1">
        <v>40</v>
      </c>
      <c r="O45" s="9">
        <v>0</v>
      </c>
      <c r="P45" s="9">
        <v>0</v>
      </c>
      <c r="Q45" s="9">
        <v>33</v>
      </c>
      <c r="R45" s="9">
        <v>8</v>
      </c>
      <c r="S45" s="10">
        <f t="shared" si="18"/>
        <v>81</v>
      </c>
      <c r="U45" t="s">
        <v>72</v>
      </c>
      <c r="V45" s="4"/>
      <c r="W45" s="11" t="s">
        <v>50</v>
      </c>
      <c r="X45" s="12">
        <v>0</v>
      </c>
      <c r="Y45" s="13">
        <v>2</v>
      </c>
      <c r="Z45" s="12">
        <v>13</v>
      </c>
      <c r="AA45" s="13">
        <v>2</v>
      </c>
      <c r="AB45" s="12">
        <v>2</v>
      </c>
      <c r="AC45" s="13">
        <v>10</v>
      </c>
      <c r="AD45" s="12">
        <v>10</v>
      </c>
      <c r="AE45" s="8">
        <f>(14490+1310)*1.03</f>
        <v>16274</v>
      </c>
      <c r="AF45" s="1">
        <v>0</v>
      </c>
      <c r="AG45" s="1">
        <v>0</v>
      </c>
      <c r="AH45" s="1">
        <v>58</v>
      </c>
      <c r="AI45" s="9">
        <v>0</v>
      </c>
      <c r="AJ45" s="9">
        <v>0</v>
      </c>
      <c r="AK45" s="9">
        <v>33</v>
      </c>
      <c r="AL45" s="9">
        <v>8</v>
      </c>
      <c r="AM45" s="10">
        <f t="shared" si="19"/>
        <v>99</v>
      </c>
      <c r="AO45" s="26" t="s">
        <v>83</v>
      </c>
      <c r="AP45" s="26" t="s">
        <v>84</v>
      </c>
    </row>
    <row r="46" spans="1:43" x14ac:dyDescent="0.25">
      <c r="A46" t="s">
        <v>31</v>
      </c>
      <c r="B46" s="4"/>
      <c r="C46" s="11" t="s">
        <v>73</v>
      </c>
      <c r="D46" s="12">
        <v>0</v>
      </c>
      <c r="E46" s="13">
        <v>2</v>
      </c>
      <c r="F46" s="12">
        <v>5</v>
      </c>
      <c r="G46" s="13">
        <v>9</v>
      </c>
      <c r="H46" s="12">
        <v>9</v>
      </c>
      <c r="I46" s="13">
        <v>10</v>
      </c>
      <c r="J46" s="12">
        <v>2</v>
      </c>
      <c r="K46" s="8">
        <f>(2630+135+1570)*1.012</f>
        <v>4387.0200000000004</v>
      </c>
      <c r="L46" s="1">
        <v>0</v>
      </c>
      <c r="M46" s="1">
        <v>0</v>
      </c>
      <c r="N46" s="1">
        <v>9</v>
      </c>
      <c r="O46" s="9">
        <v>18</v>
      </c>
      <c r="P46" s="9">
        <v>23</v>
      </c>
      <c r="Q46" s="9">
        <v>33</v>
      </c>
      <c r="R46" s="9">
        <v>0</v>
      </c>
      <c r="S46" s="10">
        <f t="shared" si="18"/>
        <v>83</v>
      </c>
      <c r="U46" t="s">
        <v>31</v>
      </c>
      <c r="V46" s="4"/>
      <c r="W46" s="11" t="s">
        <v>73</v>
      </c>
      <c r="X46" s="12">
        <v>0</v>
      </c>
      <c r="Y46" s="13">
        <v>2</v>
      </c>
      <c r="Z46" s="12">
        <f>9+1/7</f>
        <v>9.1428571428571423</v>
      </c>
      <c r="AA46" s="13">
        <v>9</v>
      </c>
      <c r="AB46" s="12">
        <v>9</v>
      </c>
      <c r="AC46" s="13">
        <v>10</v>
      </c>
      <c r="AD46" s="12">
        <v>2</v>
      </c>
      <c r="AE46" s="8">
        <f>(2630+785+1570)*1.012</f>
        <v>5044.82</v>
      </c>
      <c r="AF46" s="1">
        <v>0</v>
      </c>
      <c r="AG46" s="1">
        <v>0</v>
      </c>
      <c r="AH46" s="1">
        <v>27</v>
      </c>
      <c r="AI46" s="9">
        <v>18</v>
      </c>
      <c r="AJ46" s="9">
        <v>23</v>
      </c>
      <c r="AK46" s="9">
        <v>33</v>
      </c>
      <c r="AL46" s="9">
        <v>0</v>
      </c>
      <c r="AM46" s="10">
        <f t="shared" si="19"/>
        <v>101</v>
      </c>
      <c r="AO46" s="26">
        <v>18</v>
      </c>
      <c r="AP46" s="27">
        <f>AO46/16</f>
        <v>1.125</v>
      </c>
      <c r="AQ46" t="s">
        <v>49</v>
      </c>
    </row>
    <row r="47" spans="1:43" x14ac:dyDescent="0.25">
      <c r="A47" t="s">
        <v>33</v>
      </c>
      <c r="B47" s="4"/>
      <c r="C47" s="11" t="s">
        <v>42</v>
      </c>
      <c r="D47" s="12">
        <v>0</v>
      </c>
      <c r="E47" s="13">
        <v>2</v>
      </c>
      <c r="F47" s="12">
        <v>5</v>
      </c>
      <c r="G47" s="13">
        <v>9</v>
      </c>
      <c r="H47" s="12">
        <v>9</v>
      </c>
      <c r="I47" s="13">
        <v>10</v>
      </c>
      <c r="J47" s="12">
        <v>2</v>
      </c>
      <c r="K47" s="8">
        <f>(2630+135+1570)*1.012</f>
        <v>4387.0200000000004</v>
      </c>
      <c r="L47" s="1">
        <v>0</v>
      </c>
      <c r="M47" s="1">
        <v>0</v>
      </c>
      <c r="N47" s="1">
        <v>9</v>
      </c>
      <c r="O47" s="9">
        <v>18</v>
      </c>
      <c r="P47" s="9">
        <v>23</v>
      </c>
      <c r="Q47" s="9">
        <v>33</v>
      </c>
      <c r="R47" s="9">
        <v>0</v>
      </c>
      <c r="S47" s="10">
        <f>SUM(L47:R47)</f>
        <v>83</v>
      </c>
      <c r="U47" t="s">
        <v>33</v>
      </c>
      <c r="V47" s="4"/>
      <c r="W47" s="11" t="s">
        <v>42</v>
      </c>
      <c r="X47" s="12">
        <v>0</v>
      </c>
      <c r="Y47" s="13">
        <v>2</v>
      </c>
      <c r="Z47" s="12">
        <f>9+1/7</f>
        <v>9.1428571428571423</v>
      </c>
      <c r="AA47" s="13">
        <v>9</v>
      </c>
      <c r="AB47" s="12">
        <v>9</v>
      </c>
      <c r="AC47" s="13">
        <v>10</v>
      </c>
      <c r="AD47" s="12">
        <v>2</v>
      </c>
      <c r="AE47" s="8">
        <f>(2630+785+1570)*1.012</f>
        <v>5044.82</v>
      </c>
      <c r="AF47" s="1">
        <v>0</v>
      </c>
      <c r="AG47" s="1">
        <v>0</v>
      </c>
      <c r="AH47" s="1">
        <v>27</v>
      </c>
      <c r="AI47" s="9">
        <v>18</v>
      </c>
      <c r="AJ47" s="9">
        <v>23</v>
      </c>
      <c r="AK47" s="9">
        <v>33</v>
      </c>
      <c r="AL47" s="9">
        <v>0</v>
      </c>
      <c r="AM47" s="10">
        <f>SUM(AF47:AL47)</f>
        <v>101</v>
      </c>
    </row>
    <row r="48" spans="1:43" x14ac:dyDescent="0.25">
      <c r="A48" t="s">
        <v>34</v>
      </c>
      <c r="B48" s="4"/>
      <c r="C48" s="11" t="s">
        <v>42</v>
      </c>
      <c r="D48" s="12">
        <v>0</v>
      </c>
      <c r="E48" s="13">
        <v>2</v>
      </c>
      <c r="F48" s="12">
        <v>5</v>
      </c>
      <c r="G48" s="13">
        <v>9</v>
      </c>
      <c r="H48" s="12">
        <v>9</v>
      </c>
      <c r="I48" s="13">
        <v>10</v>
      </c>
      <c r="J48" s="12">
        <v>2</v>
      </c>
      <c r="K48" s="8">
        <f>(2630+135+1570)*1.012</f>
        <v>4387.0200000000004</v>
      </c>
      <c r="L48" s="1">
        <v>0</v>
      </c>
      <c r="M48" s="1">
        <v>0</v>
      </c>
      <c r="N48" s="1">
        <v>9</v>
      </c>
      <c r="O48" s="9">
        <v>18</v>
      </c>
      <c r="P48" s="9">
        <v>23</v>
      </c>
      <c r="Q48" s="9">
        <v>33</v>
      </c>
      <c r="R48" s="9">
        <v>0</v>
      </c>
      <c r="S48" s="10">
        <f>SUM(L48:R48)</f>
        <v>83</v>
      </c>
      <c r="U48" t="s">
        <v>34</v>
      </c>
      <c r="V48" s="4"/>
      <c r="W48" s="11" t="s">
        <v>42</v>
      </c>
      <c r="X48" s="12">
        <v>0</v>
      </c>
      <c r="Y48" s="13">
        <v>2</v>
      </c>
      <c r="Z48" s="12">
        <f>9+1/7</f>
        <v>9.1428571428571423</v>
      </c>
      <c r="AA48" s="13">
        <v>9</v>
      </c>
      <c r="AB48" s="12">
        <v>9</v>
      </c>
      <c r="AC48" s="13">
        <v>10</v>
      </c>
      <c r="AD48" s="12">
        <v>2</v>
      </c>
      <c r="AE48" s="8">
        <f>(2630+785+1570)*1.012</f>
        <v>5044.82</v>
      </c>
      <c r="AF48" s="1">
        <v>0</v>
      </c>
      <c r="AG48" s="1">
        <v>0</v>
      </c>
      <c r="AH48" s="1">
        <v>27</v>
      </c>
      <c r="AI48" s="9">
        <v>18</v>
      </c>
      <c r="AJ48" s="9">
        <v>23</v>
      </c>
      <c r="AK48" s="9">
        <v>33</v>
      </c>
      <c r="AL48" s="9">
        <v>0</v>
      </c>
      <c r="AM48" s="10">
        <f>SUM(AF48:AL48)</f>
        <v>101</v>
      </c>
    </row>
    <row r="49" spans="1:43" x14ac:dyDescent="0.25">
      <c r="B49" s="4"/>
      <c r="C49" s="11"/>
      <c r="D49" s="12">
        <v>0</v>
      </c>
      <c r="E49" s="13">
        <v>2</v>
      </c>
      <c r="F49" s="12">
        <v>2</v>
      </c>
      <c r="G49" s="13">
        <v>2</v>
      </c>
      <c r="H49" s="12">
        <v>2</v>
      </c>
      <c r="I49" s="13">
        <v>2</v>
      </c>
      <c r="J49" s="12">
        <v>2</v>
      </c>
      <c r="K49" s="8"/>
      <c r="L49" s="1">
        <v>0</v>
      </c>
      <c r="M49" s="1">
        <v>0</v>
      </c>
      <c r="N49" s="1">
        <v>0</v>
      </c>
      <c r="O49" s="9">
        <v>0</v>
      </c>
      <c r="P49" s="9">
        <v>0</v>
      </c>
      <c r="Q49" s="9">
        <v>0</v>
      </c>
      <c r="R49" s="9">
        <v>0</v>
      </c>
      <c r="S49" s="10">
        <f t="shared" ref="S49:S50" si="20">SUM(L49:R49)</f>
        <v>0</v>
      </c>
      <c r="V49" s="4"/>
      <c r="W49" s="11"/>
      <c r="X49" s="12">
        <v>0</v>
      </c>
      <c r="Y49" s="13">
        <v>2</v>
      </c>
      <c r="Z49" s="12">
        <v>2</v>
      </c>
      <c r="AA49" s="13">
        <v>2</v>
      </c>
      <c r="AB49" s="12">
        <v>2</v>
      </c>
      <c r="AC49" s="13">
        <v>2</v>
      </c>
      <c r="AD49" s="12">
        <v>2</v>
      </c>
      <c r="AE49" s="8"/>
      <c r="AF49" s="1">
        <v>0</v>
      </c>
      <c r="AG49" s="1">
        <v>0</v>
      </c>
      <c r="AH49" s="1">
        <v>0</v>
      </c>
      <c r="AI49" s="9">
        <v>0</v>
      </c>
      <c r="AJ49" s="9">
        <v>0</v>
      </c>
      <c r="AK49" s="9">
        <v>0</v>
      </c>
      <c r="AL49" s="9">
        <v>0</v>
      </c>
      <c r="AM49" s="10">
        <f t="shared" ref="AM49:AM50" si="21">SUM(AF49:AL49)</f>
        <v>0</v>
      </c>
    </row>
    <row r="50" spans="1:43" x14ac:dyDescent="0.25">
      <c r="B50" s="4"/>
      <c r="C50" s="11"/>
      <c r="D50" s="12">
        <v>0</v>
      </c>
      <c r="E50" s="13">
        <v>2</v>
      </c>
      <c r="F50" s="12">
        <v>2</v>
      </c>
      <c r="G50" s="13">
        <v>2</v>
      </c>
      <c r="H50" s="12">
        <v>2</v>
      </c>
      <c r="I50" s="13">
        <v>2</v>
      </c>
      <c r="J50" s="12">
        <v>2</v>
      </c>
      <c r="K50" s="8"/>
      <c r="L50" s="1">
        <v>0</v>
      </c>
      <c r="M50" s="1">
        <v>0</v>
      </c>
      <c r="N50" s="1">
        <v>0</v>
      </c>
      <c r="O50" s="9">
        <v>0</v>
      </c>
      <c r="P50" s="9">
        <v>0</v>
      </c>
      <c r="Q50" s="9">
        <v>0</v>
      </c>
      <c r="R50" s="9">
        <v>0</v>
      </c>
      <c r="S50" s="10">
        <f t="shared" si="20"/>
        <v>0</v>
      </c>
      <c r="V50" s="4"/>
      <c r="W50" s="11"/>
      <c r="X50" s="12">
        <v>0</v>
      </c>
      <c r="Y50" s="13">
        <v>2</v>
      </c>
      <c r="Z50" s="12">
        <v>2</v>
      </c>
      <c r="AA50" s="13">
        <v>2</v>
      </c>
      <c r="AB50" s="12">
        <v>2</v>
      </c>
      <c r="AC50" s="13">
        <v>2</v>
      </c>
      <c r="AD50" s="12">
        <v>2</v>
      </c>
      <c r="AE50" s="8"/>
      <c r="AF50" s="1">
        <v>0</v>
      </c>
      <c r="AG50" s="1">
        <v>0</v>
      </c>
      <c r="AH50" s="1">
        <v>0</v>
      </c>
      <c r="AI50" s="9">
        <v>0</v>
      </c>
      <c r="AJ50" s="9">
        <v>0</v>
      </c>
      <c r="AK50" s="9">
        <v>0</v>
      </c>
      <c r="AL50" s="9">
        <v>0</v>
      </c>
      <c r="AM50" s="10">
        <f t="shared" si="21"/>
        <v>0</v>
      </c>
    </row>
    <row r="51" spans="1:43" x14ac:dyDescent="0.25">
      <c r="K51" s="28">
        <f>SUM(K53:K67)</f>
        <v>104667.21000000002</v>
      </c>
      <c r="AE51" s="28">
        <f>SUM(AE53:AE67)</f>
        <v>125712.31</v>
      </c>
    </row>
    <row r="52" spans="1:43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7</v>
      </c>
      <c r="I52" s="3" t="s">
        <v>8</v>
      </c>
      <c r="J52" s="3" t="s">
        <v>9</v>
      </c>
      <c r="K52" s="3" t="s">
        <v>10</v>
      </c>
      <c r="L52" s="3" t="s">
        <v>11</v>
      </c>
      <c r="M52" s="3" t="s">
        <v>12</v>
      </c>
      <c r="N52" s="3" t="s">
        <v>13</v>
      </c>
      <c r="O52" s="3" t="s">
        <v>14</v>
      </c>
      <c r="P52" s="3" t="s">
        <v>15</v>
      </c>
      <c r="Q52" s="3" t="s">
        <v>16</v>
      </c>
      <c r="R52" s="3" t="s">
        <v>17</v>
      </c>
      <c r="S52" s="3" t="s">
        <v>18</v>
      </c>
      <c r="U52" s="3" t="s">
        <v>0</v>
      </c>
      <c r="V52" s="3" t="s">
        <v>1</v>
      </c>
      <c r="W52" s="3" t="s">
        <v>2</v>
      </c>
      <c r="X52" s="3" t="s">
        <v>3</v>
      </c>
      <c r="Y52" s="3" t="s">
        <v>4</v>
      </c>
      <c r="Z52" s="3" t="s">
        <v>5</v>
      </c>
      <c r="AA52" s="3" t="s">
        <v>6</v>
      </c>
      <c r="AB52" s="3" t="s">
        <v>7</v>
      </c>
      <c r="AC52" s="3" t="s">
        <v>8</v>
      </c>
      <c r="AD52" s="3" t="s">
        <v>9</v>
      </c>
      <c r="AE52" s="3" t="s">
        <v>10</v>
      </c>
      <c r="AF52" s="3" t="s">
        <v>11</v>
      </c>
      <c r="AG52" s="3" t="s">
        <v>12</v>
      </c>
      <c r="AH52" s="3" t="s">
        <v>13</v>
      </c>
      <c r="AI52" s="3" t="s">
        <v>14</v>
      </c>
      <c r="AJ52" s="3" t="s">
        <v>15</v>
      </c>
      <c r="AK52" s="3" t="s">
        <v>16</v>
      </c>
      <c r="AL52" s="3" t="s">
        <v>17</v>
      </c>
      <c r="AM52" s="3" t="s">
        <v>18</v>
      </c>
    </row>
    <row r="53" spans="1:43" x14ac:dyDescent="0.25">
      <c r="A53" t="s">
        <v>19</v>
      </c>
      <c r="B53" s="4"/>
      <c r="C53" s="5"/>
      <c r="D53" s="6">
        <v>15</v>
      </c>
      <c r="E53" s="7">
        <v>5</v>
      </c>
      <c r="F53" s="6">
        <v>0</v>
      </c>
      <c r="G53" s="7">
        <v>0</v>
      </c>
      <c r="H53" s="6">
        <v>0</v>
      </c>
      <c r="I53" s="7">
        <v>0</v>
      </c>
      <c r="J53" s="6">
        <v>10</v>
      </c>
      <c r="K53" s="8">
        <f>(24270+135)*1.03</f>
        <v>25137.15</v>
      </c>
      <c r="L53" s="1">
        <v>52</v>
      </c>
      <c r="M53" s="1">
        <v>10</v>
      </c>
      <c r="N53" s="1">
        <v>0</v>
      </c>
      <c r="O53" s="9">
        <v>0</v>
      </c>
      <c r="P53" s="9">
        <v>0</v>
      </c>
      <c r="Q53" s="9">
        <v>0</v>
      </c>
      <c r="R53" s="9">
        <v>8</v>
      </c>
      <c r="S53" s="10">
        <f>SUM(L53:R53)</f>
        <v>70</v>
      </c>
      <c r="U53" t="s">
        <v>19</v>
      </c>
      <c r="V53" s="4"/>
      <c r="W53" s="5"/>
      <c r="X53" s="6">
        <v>15</v>
      </c>
      <c r="Y53" s="7">
        <f>8+5/6</f>
        <v>8.8333333333333339</v>
      </c>
      <c r="Z53" s="6">
        <v>0</v>
      </c>
      <c r="AA53" s="7">
        <v>0</v>
      </c>
      <c r="AB53" s="6">
        <v>0</v>
      </c>
      <c r="AC53" s="7">
        <v>0</v>
      </c>
      <c r="AD53" s="6">
        <v>10</v>
      </c>
      <c r="AE53" s="8">
        <f>(24270+655)*1.03</f>
        <v>25672.75</v>
      </c>
      <c r="AF53" s="1">
        <v>52</v>
      </c>
      <c r="AG53" s="1">
        <v>29</v>
      </c>
      <c r="AH53" s="1">
        <v>0</v>
      </c>
      <c r="AI53" s="9">
        <v>0</v>
      </c>
      <c r="AJ53" s="9">
        <v>0</v>
      </c>
      <c r="AK53" s="9">
        <v>0</v>
      </c>
      <c r="AL53" s="9">
        <v>8</v>
      </c>
      <c r="AM53" s="10">
        <f>SUM(AF53:AL53)</f>
        <v>89</v>
      </c>
    </row>
    <row r="54" spans="1:43" x14ac:dyDescent="0.25">
      <c r="B54" s="4"/>
      <c r="C54" s="11"/>
      <c r="D54" s="12">
        <v>0</v>
      </c>
      <c r="E54" s="13">
        <v>2</v>
      </c>
      <c r="F54" s="12">
        <v>2</v>
      </c>
      <c r="G54" s="13">
        <v>2</v>
      </c>
      <c r="H54" s="12">
        <v>2</v>
      </c>
      <c r="I54" s="13">
        <v>2</v>
      </c>
      <c r="J54" s="12">
        <v>2</v>
      </c>
      <c r="K54" s="8"/>
      <c r="L54" s="1">
        <v>0</v>
      </c>
      <c r="M54" s="1">
        <v>0</v>
      </c>
      <c r="N54" s="1">
        <v>0</v>
      </c>
      <c r="O54" s="9">
        <v>0</v>
      </c>
      <c r="P54" s="9">
        <v>0</v>
      </c>
      <c r="Q54" s="9">
        <v>0</v>
      </c>
      <c r="R54" s="9">
        <v>0</v>
      </c>
      <c r="S54" s="10">
        <f t="shared" ref="S54" si="22">SUM(L54:R54)</f>
        <v>0</v>
      </c>
      <c r="V54" s="4"/>
      <c r="W54" s="11"/>
      <c r="X54" s="12">
        <v>0</v>
      </c>
      <c r="Y54" s="13">
        <v>2</v>
      </c>
      <c r="Z54" s="12">
        <v>2</v>
      </c>
      <c r="AA54" s="13">
        <v>2</v>
      </c>
      <c r="AB54" s="12">
        <v>2</v>
      </c>
      <c r="AC54" s="13">
        <v>2</v>
      </c>
      <c r="AD54" s="12">
        <v>2</v>
      </c>
      <c r="AE54" s="8"/>
      <c r="AF54" s="1">
        <v>0</v>
      </c>
      <c r="AG54" s="1">
        <v>0</v>
      </c>
      <c r="AH54" s="1">
        <v>0</v>
      </c>
      <c r="AI54" s="9">
        <v>0</v>
      </c>
      <c r="AJ54" s="9">
        <v>0</v>
      </c>
      <c r="AK54" s="9">
        <v>0</v>
      </c>
      <c r="AL54" s="9">
        <v>0</v>
      </c>
      <c r="AM54" s="10">
        <f t="shared" ref="AM54" si="23">SUM(AF54:AL54)</f>
        <v>0</v>
      </c>
    </row>
    <row r="55" spans="1:43" x14ac:dyDescent="0.25">
      <c r="B55" s="4"/>
      <c r="C55" s="11"/>
      <c r="D55" s="12">
        <v>0</v>
      </c>
      <c r="E55" s="13">
        <v>2</v>
      </c>
      <c r="F55" s="12">
        <v>2</v>
      </c>
      <c r="G55" s="13">
        <v>2</v>
      </c>
      <c r="H55" s="12">
        <v>2</v>
      </c>
      <c r="I55" s="13">
        <v>2</v>
      </c>
      <c r="J55" s="12">
        <v>2</v>
      </c>
      <c r="K55" s="8"/>
      <c r="L55" s="1">
        <v>0</v>
      </c>
      <c r="M55" s="1">
        <v>0</v>
      </c>
      <c r="N55" s="1">
        <v>0</v>
      </c>
      <c r="O55" s="9">
        <v>0</v>
      </c>
      <c r="P55" s="9">
        <v>0</v>
      </c>
      <c r="Q55" s="9">
        <v>0</v>
      </c>
      <c r="R55" s="9">
        <v>0</v>
      </c>
      <c r="S55" s="10">
        <f>SUM(L55:R55)</f>
        <v>0</v>
      </c>
      <c r="V55" s="4"/>
      <c r="W55" s="11"/>
      <c r="X55" s="12">
        <v>0</v>
      </c>
      <c r="Y55" s="13">
        <v>2</v>
      </c>
      <c r="Z55" s="12">
        <v>2</v>
      </c>
      <c r="AA55" s="13">
        <v>2</v>
      </c>
      <c r="AB55" s="12">
        <v>2</v>
      </c>
      <c r="AC55" s="13">
        <v>2</v>
      </c>
      <c r="AD55" s="12">
        <v>2</v>
      </c>
      <c r="AE55" s="8"/>
      <c r="AF55" s="1">
        <v>0</v>
      </c>
      <c r="AG55" s="1">
        <v>0</v>
      </c>
      <c r="AH55" s="1">
        <v>0</v>
      </c>
      <c r="AI55" s="9">
        <v>0</v>
      </c>
      <c r="AJ55" s="9">
        <v>0</v>
      </c>
      <c r="AK55" s="9">
        <v>0</v>
      </c>
      <c r="AL55" s="9">
        <v>0</v>
      </c>
      <c r="AM55" s="10">
        <f>SUM(AF55:AL55)</f>
        <v>0</v>
      </c>
    </row>
    <row r="56" spans="1:43" x14ac:dyDescent="0.25">
      <c r="A56" t="s">
        <v>24</v>
      </c>
      <c r="B56" s="4"/>
      <c r="C56" s="11" t="s">
        <v>50</v>
      </c>
      <c r="D56" s="12">
        <v>0</v>
      </c>
      <c r="E56" s="13">
        <v>10</v>
      </c>
      <c r="F56" s="12">
        <v>5</v>
      </c>
      <c r="G56" s="13">
        <v>2</v>
      </c>
      <c r="H56" s="12">
        <v>2</v>
      </c>
      <c r="I56" s="13">
        <v>10</v>
      </c>
      <c r="J56" s="12">
        <v>10</v>
      </c>
      <c r="K56" s="8">
        <f>(2330+135+1315)*1.03</f>
        <v>3893.4</v>
      </c>
      <c r="L56" s="1">
        <v>0</v>
      </c>
      <c r="M56" s="1">
        <v>37</v>
      </c>
      <c r="N56" s="1">
        <v>9</v>
      </c>
      <c r="O56" s="9">
        <v>0</v>
      </c>
      <c r="P56" s="9">
        <v>0</v>
      </c>
      <c r="Q56" s="9">
        <v>33</v>
      </c>
      <c r="R56" s="9">
        <v>8</v>
      </c>
      <c r="S56" s="10">
        <f>SUM(L56:R56)</f>
        <v>87</v>
      </c>
      <c r="U56" t="s">
        <v>24</v>
      </c>
      <c r="V56" s="4"/>
      <c r="W56" s="11" t="s">
        <v>50</v>
      </c>
      <c r="X56" s="12">
        <v>0</v>
      </c>
      <c r="Y56" s="13">
        <v>12</v>
      </c>
      <c r="Z56" s="12">
        <v>5</v>
      </c>
      <c r="AA56" s="13">
        <v>2</v>
      </c>
      <c r="AB56" s="12">
        <v>2</v>
      </c>
      <c r="AC56" s="13">
        <v>10</v>
      </c>
      <c r="AD56" s="12">
        <v>10</v>
      </c>
      <c r="AE56" s="8">
        <f>(7010+135+1315)*1.03</f>
        <v>8713.8000000000011</v>
      </c>
      <c r="AF56" s="1">
        <v>0</v>
      </c>
      <c r="AG56" s="1">
        <v>56</v>
      </c>
      <c r="AH56" s="1">
        <v>9</v>
      </c>
      <c r="AI56" s="9">
        <v>0</v>
      </c>
      <c r="AJ56" s="9">
        <v>0</v>
      </c>
      <c r="AK56" s="9">
        <v>33</v>
      </c>
      <c r="AL56" s="9">
        <v>8</v>
      </c>
      <c r="AM56" s="10">
        <f>SUM(AF56:AL56)</f>
        <v>106</v>
      </c>
    </row>
    <row r="57" spans="1:43" x14ac:dyDescent="0.25">
      <c r="A57" t="s">
        <v>25</v>
      </c>
      <c r="B57" s="4"/>
      <c r="C57" s="11" t="s">
        <v>50</v>
      </c>
      <c r="D57" s="12">
        <v>0</v>
      </c>
      <c r="E57" s="13">
        <v>10</v>
      </c>
      <c r="F57" s="12">
        <v>5</v>
      </c>
      <c r="G57" s="13">
        <v>2</v>
      </c>
      <c r="H57" s="12">
        <v>2</v>
      </c>
      <c r="I57" s="13">
        <v>10</v>
      </c>
      <c r="J57" s="12">
        <v>10</v>
      </c>
      <c r="K57" s="8">
        <f>(2330+135+1315)*1.03</f>
        <v>3893.4</v>
      </c>
      <c r="L57" s="1">
        <v>0</v>
      </c>
      <c r="M57" s="1">
        <v>37</v>
      </c>
      <c r="N57" s="1">
        <v>9</v>
      </c>
      <c r="O57" s="9">
        <v>0</v>
      </c>
      <c r="P57" s="9">
        <v>0</v>
      </c>
      <c r="Q57" s="9">
        <v>33</v>
      </c>
      <c r="R57" s="9">
        <v>8</v>
      </c>
      <c r="S57" s="10">
        <f t="shared" ref="S57:S58" si="24">SUM(L57:R57)</f>
        <v>87</v>
      </c>
      <c r="U57" t="s">
        <v>25</v>
      </c>
      <c r="V57" s="4"/>
      <c r="W57" s="11" t="s">
        <v>50</v>
      </c>
      <c r="X57" s="12">
        <v>0</v>
      </c>
      <c r="Y57" s="13">
        <v>12</v>
      </c>
      <c r="Z57" s="12">
        <v>5</v>
      </c>
      <c r="AA57" s="13">
        <v>2</v>
      </c>
      <c r="AB57" s="12">
        <v>2</v>
      </c>
      <c r="AC57" s="13">
        <v>10</v>
      </c>
      <c r="AD57" s="12">
        <v>10</v>
      </c>
      <c r="AE57" s="8">
        <f>(7010+135+1315)*1.03</f>
        <v>8713.8000000000011</v>
      </c>
      <c r="AF57" s="1">
        <v>0</v>
      </c>
      <c r="AG57" s="1">
        <v>56</v>
      </c>
      <c r="AH57" s="1">
        <v>9</v>
      </c>
      <c r="AI57" s="9">
        <v>0</v>
      </c>
      <c r="AJ57" s="9">
        <v>0</v>
      </c>
      <c r="AK57" s="9">
        <v>33</v>
      </c>
      <c r="AL57" s="9">
        <v>8</v>
      </c>
      <c r="AM57" s="10">
        <f t="shared" ref="AM57:AM58" si="25">SUM(AF57:AL57)</f>
        <v>106</v>
      </c>
    </row>
    <row r="58" spans="1:43" x14ac:dyDescent="0.25">
      <c r="A58" t="s">
        <v>26</v>
      </c>
      <c r="B58" s="4"/>
      <c r="C58" s="11"/>
      <c r="D58" s="12">
        <v>0</v>
      </c>
      <c r="E58" s="13">
        <v>10</v>
      </c>
      <c r="F58" s="12">
        <v>5</v>
      </c>
      <c r="G58" s="13">
        <v>2</v>
      </c>
      <c r="H58" s="12">
        <v>2</v>
      </c>
      <c r="I58" s="13">
        <v>10</v>
      </c>
      <c r="J58" s="12">
        <v>10</v>
      </c>
      <c r="K58" s="8">
        <f>(2330+135+1315)*1.03</f>
        <v>3893.4</v>
      </c>
      <c r="L58" s="1">
        <v>0</v>
      </c>
      <c r="M58" s="1">
        <v>37</v>
      </c>
      <c r="N58" s="1">
        <v>9</v>
      </c>
      <c r="O58" s="9">
        <v>0</v>
      </c>
      <c r="P58" s="9">
        <v>0</v>
      </c>
      <c r="Q58" s="9">
        <v>33</v>
      </c>
      <c r="R58" s="9">
        <v>8</v>
      </c>
      <c r="S58" s="10">
        <f t="shared" si="24"/>
        <v>87</v>
      </c>
      <c r="U58" t="s">
        <v>26</v>
      </c>
      <c r="V58" s="4"/>
      <c r="W58" s="11"/>
      <c r="X58" s="12">
        <v>0</v>
      </c>
      <c r="Y58" s="13">
        <v>12</v>
      </c>
      <c r="Z58" s="12">
        <v>5</v>
      </c>
      <c r="AA58" s="13">
        <v>2</v>
      </c>
      <c r="AB58" s="12">
        <v>2</v>
      </c>
      <c r="AC58" s="13">
        <v>10</v>
      </c>
      <c r="AD58" s="12">
        <v>10</v>
      </c>
      <c r="AE58" s="8">
        <f>(7010+135+1315)*1.03</f>
        <v>8713.8000000000011</v>
      </c>
      <c r="AF58" s="1">
        <v>0</v>
      </c>
      <c r="AG58" s="1">
        <v>56</v>
      </c>
      <c r="AH58" s="1">
        <v>9</v>
      </c>
      <c r="AI58" s="9">
        <v>0</v>
      </c>
      <c r="AJ58" s="9">
        <v>0</v>
      </c>
      <c r="AK58" s="9">
        <v>33</v>
      </c>
      <c r="AL58" s="9">
        <v>8</v>
      </c>
      <c r="AM58" s="10">
        <f t="shared" si="25"/>
        <v>106</v>
      </c>
    </row>
    <row r="59" spans="1:43" x14ac:dyDescent="0.25">
      <c r="A59" t="s">
        <v>27</v>
      </c>
      <c r="B59" s="4"/>
      <c r="C59" s="11"/>
      <c r="D59" s="12">
        <v>0</v>
      </c>
      <c r="E59" s="13">
        <v>10</v>
      </c>
      <c r="F59" s="12">
        <v>5</v>
      </c>
      <c r="G59" s="13">
        <v>2</v>
      </c>
      <c r="H59" s="12">
        <v>2</v>
      </c>
      <c r="I59" s="13">
        <v>10</v>
      </c>
      <c r="J59" s="12">
        <v>10</v>
      </c>
      <c r="K59" s="8">
        <f>(2330+135+1315)*1.03</f>
        <v>3893.4</v>
      </c>
      <c r="L59" s="1">
        <v>0</v>
      </c>
      <c r="M59" s="1">
        <v>37</v>
      </c>
      <c r="N59" s="1">
        <v>9</v>
      </c>
      <c r="O59" s="9">
        <v>0</v>
      </c>
      <c r="P59" s="9">
        <v>0</v>
      </c>
      <c r="Q59" s="9">
        <v>33</v>
      </c>
      <c r="R59" s="9">
        <v>8</v>
      </c>
      <c r="S59" s="10">
        <f t="shared" ref="S59:S63" si="26">SUM(L59:R59)</f>
        <v>87</v>
      </c>
      <c r="U59" t="s">
        <v>27</v>
      </c>
      <c r="V59" s="4"/>
      <c r="W59" s="11"/>
      <c r="X59" s="12">
        <v>0</v>
      </c>
      <c r="Y59" s="13">
        <v>12</v>
      </c>
      <c r="Z59" s="12">
        <v>5</v>
      </c>
      <c r="AA59" s="13">
        <v>2</v>
      </c>
      <c r="AB59" s="12">
        <v>2</v>
      </c>
      <c r="AC59" s="13">
        <v>10</v>
      </c>
      <c r="AD59" s="12">
        <v>10</v>
      </c>
      <c r="AE59" s="8">
        <f>(7010+135+1315)*1.03</f>
        <v>8713.8000000000011</v>
      </c>
      <c r="AF59" s="1">
        <v>0</v>
      </c>
      <c r="AG59" s="1">
        <v>56</v>
      </c>
      <c r="AH59" s="1">
        <v>9</v>
      </c>
      <c r="AI59" s="9">
        <v>0</v>
      </c>
      <c r="AJ59" s="9">
        <v>0</v>
      </c>
      <c r="AK59" s="9">
        <v>33</v>
      </c>
      <c r="AL59" s="9">
        <v>8</v>
      </c>
      <c r="AM59" s="10">
        <f t="shared" ref="AM59:AM63" si="27">SUM(AF59:AL59)</f>
        <v>106</v>
      </c>
      <c r="AO59" t="s">
        <v>83</v>
      </c>
      <c r="AP59" s="26" t="s">
        <v>84</v>
      </c>
    </row>
    <row r="60" spans="1:43" x14ac:dyDescent="0.25">
      <c r="A60" t="s">
        <v>28</v>
      </c>
      <c r="B60" s="4"/>
      <c r="C60" s="11" t="s">
        <v>74</v>
      </c>
      <c r="D60" s="12">
        <v>0</v>
      </c>
      <c r="E60" s="13">
        <v>2</v>
      </c>
      <c r="F60" s="12">
        <v>13</v>
      </c>
      <c r="G60" s="13">
        <v>2</v>
      </c>
      <c r="H60" s="12">
        <v>2</v>
      </c>
      <c r="I60" s="13">
        <v>10</v>
      </c>
      <c r="J60" s="12">
        <v>10</v>
      </c>
      <c r="K60" s="8">
        <f>(14490+1310)*1.03</f>
        <v>16274</v>
      </c>
      <c r="L60" s="1">
        <v>0</v>
      </c>
      <c r="M60" s="1">
        <v>0</v>
      </c>
      <c r="N60" s="1">
        <v>58</v>
      </c>
      <c r="O60" s="9">
        <v>0</v>
      </c>
      <c r="P60" s="9">
        <v>0</v>
      </c>
      <c r="Q60" s="9">
        <v>33</v>
      </c>
      <c r="R60" s="9">
        <v>8</v>
      </c>
      <c r="S60" s="10">
        <f t="shared" si="26"/>
        <v>99</v>
      </c>
      <c r="U60" t="s">
        <v>28</v>
      </c>
      <c r="V60" s="4"/>
      <c r="W60" s="11" t="s">
        <v>74</v>
      </c>
      <c r="X60" s="12">
        <v>0</v>
      </c>
      <c r="Y60" s="13">
        <f>7+1/6</f>
        <v>7.166666666666667</v>
      </c>
      <c r="Z60" s="12">
        <v>13</v>
      </c>
      <c r="AA60" s="13">
        <v>2</v>
      </c>
      <c r="AB60" s="12">
        <v>2</v>
      </c>
      <c r="AC60" s="13">
        <v>10</v>
      </c>
      <c r="AD60" s="12">
        <v>10</v>
      </c>
      <c r="AE60" s="8">
        <f>(14490+1310+250)*1.03</f>
        <v>16531.5</v>
      </c>
      <c r="AF60" s="1">
        <v>0</v>
      </c>
      <c r="AG60" s="1">
        <v>19</v>
      </c>
      <c r="AH60" s="1">
        <v>58</v>
      </c>
      <c r="AI60" s="9">
        <v>0</v>
      </c>
      <c r="AJ60" s="9">
        <v>0</v>
      </c>
      <c r="AK60" s="9">
        <v>33</v>
      </c>
      <c r="AL60" s="9">
        <v>8</v>
      </c>
      <c r="AM60" s="10">
        <f t="shared" si="27"/>
        <v>118</v>
      </c>
      <c r="AO60">
        <f>56-37</f>
        <v>19</v>
      </c>
      <c r="AP60" s="27">
        <f>AO60/16</f>
        <v>1.1875</v>
      </c>
      <c r="AQ60" t="s">
        <v>40</v>
      </c>
    </row>
    <row r="61" spans="1:43" x14ac:dyDescent="0.25">
      <c r="A61" t="s">
        <v>29</v>
      </c>
      <c r="B61" s="4"/>
      <c r="C61" s="11" t="s">
        <v>50</v>
      </c>
      <c r="D61" s="12">
        <v>0</v>
      </c>
      <c r="E61" s="13">
        <v>2</v>
      </c>
      <c r="F61" s="12">
        <v>13</v>
      </c>
      <c r="G61" s="13">
        <v>2</v>
      </c>
      <c r="H61" s="12">
        <v>2</v>
      </c>
      <c r="I61" s="13">
        <v>10</v>
      </c>
      <c r="J61" s="12">
        <v>10</v>
      </c>
      <c r="K61" s="8">
        <f>(14490+1310)*1.03</f>
        <v>16274</v>
      </c>
      <c r="L61" s="1">
        <v>0</v>
      </c>
      <c r="M61" s="1">
        <v>0</v>
      </c>
      <c r="N61" s="1">
        <v>58</v>
      </c>
      <c r="O61" s="9">
        <v>0</v>
      </c>
      <c r="P61" s="9">
        <v>0</v>
      </c>
      <c r="Q61" s="9">
        <v>33</v>
      </c>
      <c r="R61" s="9">
        <v>8</v>
      </c>
      <c r="S61" s="10">
        <f t="shared" si="26"/>
        <v>99</v>
      </c>
      <c r="U61" t="s">
        <v>29</v>
      </c>
      <c r="V61" s="4"/>
      <c r="W61" s="11" t="s">
        <v>50</v>
      </c>
      <c r="X61" s="12">
        <v>0</v>
      </c>
      <c r="Y61" s="13">
        <f>7+1/6</f>
        <v>7.166666666666667</v>
      </c>
      <c r="Z61" s="12">
        <v>13</v>
      </c>
      <c r="AA61" s="13">
        <v>2</v>
      </c>
      <c r="AB61" s="12">
        <v>2</v>
      </c>
      <c r="AC61" s="13">
        <v>10</v>
      </c>
      <c r="AD61" s="12">
        <v>10</v>
      </c>
      <c r="AE61" s="8">
        <f>(14490+1310+250)*1.03</f>
        <v>16531.5</v>
      </c>
      <c r="AF61" s="1">
        <v>0</v>
      </c>
      <c r="AG61" s="1">
        <v>19</v>
      </c>
      <c r="AH61" s="1">
        <v>58</v>
      </c>
      <c r="AI61" s="9">
        <v>0</v>
      </c>
      <c r="AJ61" s="9">
        <v>0</v>
      </c>
      <c r="AK61" s="9">
        <v>33</v>
      </c>
      <c r="AL61" s="9">
        <v>8</v>
      </c>
      <c r="AM61" s="10">
        <f t="shared" si="27"/>
        <v>118</v>
      </c>
    </row>
    <row r="62" spans="1:43" x14ac:dyDescent="0.25">
      <c r="A62" t="s">
        <v>72</v>
      </c>
      <c r="B62" s="4"/>
      <c r="C62" s="11" t="s">
        <v>50</v>
      </c>
      <c r="D62" s="12">
        <v>0</v>
      </c>
      <c r="E62" s="13">
        <v>2</v>
      </c>
      <c r="F62" s="12">
        <v>13</v>
      </c>
      <c r="G62" s="13">
        <v>2</v>
      </c>
      <c r="H62" s="12">
        <v>2</v>
      </c>
      <c r="I62" s="13">
        <v>10</v>
      </c>
      <c r="J62" s="12">
        <v>10</v>
      </c>
      <c r="K62" s="8">
        <f>(14490+1310)*1.03</f>
        <v>16274</v>
      </c>
      <c r="L62" s="1">
        <v>0</v>
      </c>
      <c r="M62" s="1">
        <v>0</v>
      </c>
      <c r="N62" s="1">
        <v>58</v>
      </c>
      <c r="O62" s="9">
        <v>0</v>
      </c>
      <c r="P62" s="9">
        <v>0</v>
      </c>
      <c r="Q62" s="9">
        <v>33</v>
      </c>
      <c r="R62" s="9">
        <v>8</v>
      </c>
      <c r="S62" s="10">
        <f t="shared" si="26"/>
        <v>99</v>
      </c>
      <c r="U62" t="s">
        <v>72</v>
      </c>
      <c r="V62" s="4"/>
      <c r="W62" s="11" t="s">
        <v>50</v>
      </c>
      <c r="X62" s="12">
        <v>0</v>
      </c>
      <c r="Y62" s="13">
        <f>7+1/6</f>
        <v>7.166666666666667</v>
      </c>
      <c r="Z62" s="12">
        <v>13</v>
      </c>
      <c r="AA62" s="13">
        <v>2</v>
      </c>
      <c r="AB62" s="12">
        <v>2</v>
      </c>
      <c r="AC62" s="13">
        <v>10</v>
      </c>
      <c r="AD62" s="12">
        <v>10</v>
      </c>
      <c r="AE62" s="8">
        <f>(14490+1310+250)*1.03</f>
        <v>16531.5</v>
      </c>
      <c r="AF62" s="1">
        <v>0</v>
      </c>
      <c r="AG62" s="1">
        <v>19</v>
      </c>
      <c r="AH62" s="1">
        <v>58</v>
      </c>
      <c r="AI62" s="9">
        <v>0</v>
      </c>
      <c r="AJ62" s="9">
        <v>0</v>
      </c>
      <c r="AK62" s="9">
        <v>33</v>
      </c>
      <c r="AL62" s="9">
        <v>8</v>
      </c>
      <c r="AM62" s="10">
        <f t="shared" si="27"/>
        <v>118</v>
      </c>
    </row>
    <row r="63" spans="1:43" x14ac:dyDescent="0.25">
      <c r="A63" t="s">
        <v>31</v>
      </c>
      <c r="B63" s="4"/>
      <c r="C63" s="11" t="s">
        <v>73</v>
      </c>
      <c r="D63" s="12">
        <v>0</v>
      </c>
      <c r="E63" s="13">
        <v>2</v>
      </c>
      <c r="F63" s="12">
        <f>9+1/7</f>
        <v>9.1428571428571423</v>
      </c>
      <c r="G63" s="13">
        <v>9</v>
      </c>
      <c r="H63" s="12">
        <v>9</v>
      </c>
      <c r="I63" s="13">
        <v>10</v>
      </c>
      <c r="J63" s="12">
        <v>2</v>
      </c>
      <c r="K63" s="8">
        <f>(2630+785+1570)*1.012</f>
        <v>5044.82</v>
      </c>
      <c r="L63" s="1">
        <v>0</v>
      </c>
      <c r="M63" s="1">
        <v>0</v>
      </c>
      <c r="N63" s="1">
        <v>27</v>
      </c>
      <c r="O63" s="9">
        <v>18</v>
      </c>
      <c r="P63" s="9">
        <v>23</v>
      </c>
      <c r="Q63" s="9">
        <v>33</v>
      </c>
      <c r="R63" s="9">
        <v>0</v>
      </c>
      <c r="S63" s="10">
        <f t="shared" si="26"/>
        <v>101</v>
      </c>
      <c r="U63" t="s">
        <v>31</v>
      </c>
      <c r="V63" s="4"/>
      <c r="W63" s="11" t="s">
        <v>73</v>
      </c>
      <c r="X63" s="12">
        <v>0</v>
      </c>
      <c r="Y63" s="13">
        <v>5.5</v>
      </c>
      <c r="Z63" s="12">
        <f>9+1/7</f>
        <v>9.1428571428571423</v>
      </c>
      <c r="AA63" s="13">
        <v>9</v>
      </c>
      <c r="AB63" s="12">
        <v>9</v>
      </c>
      <c r="AC63" s="13">
        <v>10</v>
      </c>
      <c r="AD63" s="12">
        <v>2</v>
      </c>
      <c r="AE63" s="8">
        <f>(2630+785+1570+150)*1.012</f>
        <v>5196.62</v>
      </c>
      <c r="AF63" s="1">
        <v>0</v>
      </c>
      <c r="AG63" s="1">
        <v>12</v>
      </c>
      <c r="AH63" s="1">
        <v>27</v>
      </c>
      <c r="AI63" s="9">
        <v>18</v>
      </c>
      <c r="AJ63" s="9">
        <v>23</v>
      </c>
      <c r="AK63" s="9">
        <v>33</v>
      </c>
      <c r="AL63" s="9">
        <v>0</v>
      </c>
      <c r="AM63" s="10">
        <f t="shared" si="27"/>
        <v>113</v>
      </c>
    </row>
    <row r="64" spans="1:43" x14ac:dyDescent="0.25">
      <c r="A64" t="s">
        <v>33</v>
      </c>
      <c r="B64" s="4"/>
      <c r="C64" s="11" t="s">
        <v>42</v>
      </c>
      <c r="D64" s="12">
        <v>0</v>
      </c>
      <c r="E64" s="13">
        <v>2</v>
      </c>
      <c r="F64" s="12">
        <f>9+1/7</f>
        <v>9.1428571428571423</v>
      </c>
      <c r="G64" s="13">
        <v>9</v>
      </c>
      <c r="H64" s="12">
        <v>9</v>
      </c>
      <c r="I64" s="13">
        <v>10</v>
      </c>
      <c r="J64" s="12">
        <v>2</v>
      </c>
      <c r="K64" s="8">
        <f>(2630+785+1570)*1.012</f>
        <v>5044.82</v>
      </c>
      <c r="L64" s="1">
        <v>0</v>
      </c>
      <c r="M64" s="1">
        <v>0</v>
      </c>
      <c r="N64" s="1">
        <v>27</v>
      </c>
      <c r="O64" s="9">
        <v>18</v>
      </c>
      <c r="P64" s="9">
        <v>23</v>
      </c>
      <c r="Q64" s="9">
        <v>33</v>
      </c>
      <c r="R64" s="9">
        <v>0</v>
      </c>
      <c r="S64" s="10">
        <f>SUM(L64:R64)</f>
        <v>101</v>
      </c>
      <c r="U64" t="s">
        <v>33</v>
      </c>
      <c r="V64" s="4"/>
      <c r="W64" s="11" t="s">
        <v>42</v>
      </c>
      <c r="X64" s="12">
        <v>0</v>
      </c>
      <c r="Y64" s="13">
        <v>5.5</v>
      </c>
      <c r="Z64" s="12">
        <f>9+1/7</f>
        <v>9.1428571428571423</v>
      </c>
      <c r="AA64" s="13">
        <v>9</v>
      </c>
      <c r="AB64" s="12">
        <v>9</v>
      </c>
      <c r="AC64" s="13">
        <v>10</v>
      </c>
      <c r="AD64" s="12">
        <v>2</v>
      </c>
      <c r="AE64" s="8">
        <f>(2630+785+1570+150)*1.012</f>
        <v>5196.62</v>
      </c>
      <c r="AF64" s="1">
        <v>0</v>
      </c>
      <c r="AG64" s="1">
        <v>12</v>
      </c>
      <c r="AH64" s="1">
        <v>27</v>
      </c>
      <c r="AI64" s="9">
        <v>18</v>
      </c>
      <c r="AJ64" s="9">
        <v>23</v>
      </c>
      <c r="AK64" s="9">
        <v>33</v>
      </c>
      <c r="AL64" s="9">
        <v>0</v>
      </c>
      <c r="AM64" s="10">
        <f>SUM(AF64:AL64)</f>
        <v>113</v>
      </c>
    </row>
    <row r="65" spans="1:43" x14ac:dyDescent="0.25">
      <c r="A65" t="s">
        <v>34</v>
      </c>
      <c r="B65" s="4"/>
      <c r="C65" s="11" t="s">
        <v>42</v>
      </c>
      <c r="D65" s="12">
        <v>0</v>
      </c>
      <c r="E65" s="13">
        <v>2</v>
      </c>
      <c r="F65" s="12">
        <f>9+1/7</f>
        <v>9.1428571428571423</v>
      </c>
      <c r="G65" s="13">
        <v>9</v>
      </c>
      <c r="H65" s="12">
        <v>9</v>
      </c>
      <c r="I65" s="13">
        <v>10</v>
      </c>
      <c r="J65" s="12">
        <v>2</v>
      </c>
      <c r="K65" s="8">
        <f>(2630+785+1570)*1.012</f>
        <v>5044.82</v>
      </c>
      <c r="L65" s="1">
        <v>0</v>
      </c>
      <c r="M65" s="1">
        <v>0</v>
      </c>
      <c r="N65" s="1">
        <v>27</v>
      </c>
      <c r="O65" s="9">
        <v>18</v>
      </c>
      <c r="P65" s="9">
        <v>23</v>
      </c>
      <c r="Q65" s="9">
        <v>33</v>
      </c>
      <c r="R65" s="9">
        <v>0</v>
      </c>
      <c r="S65" s="10">
        <f>SUM(L65:R65)</f>
        <v>101</v>
      </c>
      <c r="U65" t="s">
        <v>34</v>
      </c>
      <c r="V65" s="4"/>
      <c r="W65" s="11" t="s">
        <v>42</v>
      </c>
      <c r="X65" s="12">
        <v>0</v>
      </c>
      <c r="Y65" s="13">
        <v>5.5</v>
      </c>
      <c r="Z65" s="12">
        <f>9+1/7</f>
        <v>9.1428571428571423</v>
      </c>
      <c r="AA65" s="13">
        <v>9</v>
      </c>
      <c r="AB65" s="12">
        <v>9</v>
      </c>
      <c r="AC65" s="13">
        <v>10</v>
      </c>
      <c r="AD65" s="12">
        <v>2</v>
      </c>
      <c r="AE65" s="8">
        <f>(2630+785+1570+150)*1.012</f>
        <v>5196.62</v>
      </c>
      <c r="AF65" s="1">
        <v>0</v>
      </c>
      <c r="AG65" s="1">
        <v>12</v>
      </c>
      <c r="AH65" s="1">
        <v>27</v>
      </c>
      <c r="AI65" s="9">
        <v>18</v>
      </c>
      <c r="AJ65" s="9">
        <v>23</v>
      </c>
      <c r="AK65" s="9">
        <v>33</v>
      </c>
      <c r="AL65" s="9">
        <v>0</v>
      </c>
      <c r="AM65" s="10">
        <f>SUM(AF65:AL65)</f>
        <v>113</v>
      </c>
    </row>
    <row r="66" spans="1:43" x14ac:dyDescent="0.25">
      <c r="B66" s="4"/>
      <c r="C66" s="11"/>
      <c r="D66" s="12">
        <v>0</v>
      </c>
      <c r="E66" s="13">
        <v>2</v>
      </c>
      <c r="F66" s="12">
        <v>2</v>
      </c>
      <c r="G66" s="13">
        <v>2</v>
      </c>
      <c r="H66" s="12">
        <v>2</v>
      </c>
      <c r="I66" s="13">
        <v>2</v>
      </c>
      <c r="J66" s="12">
        <v>2</v>
      </c>
      <c r="K66" s="8"/>
      <c r="L66" s="1">
        <v>0</v>
      </c>
      <c r="M66" s="1">
        <v>0</v>
      </c>
      <c r="N66" s="1">
        <v>0</v>
      </c>
      <c r="O66" s="9">
        <v>0</v>
      </c>
      <c r="P66" s="9">
        <v>0</v>
      </c>
      <c r="Q66" s="9">
        <v>0</v>
      </c>
      <c r="R66" s="9">
        <v>0</v>
      </c>
      <c r="S66" s="10">
        <f t="shared" ref="S66:S67" si="28">SUM(L66:R66)</f>
        <v>0</v>
      </c>
      <c r="V66" s="4"/>
      <c r="W66" s="11"/>
      <c r="X66" s="12">
        <v>0</v>
      </c>
      <c r="Y66" s="13">
        <v>2</v>
      </c>
      <c r="Z66" s="12">
        <v>2</v>
      </c>
      <c r="AA66" s="13">
        <v>2</v>
      </c>
      <c r="AB66" s="12">
        <v>2</v>
      </c>
      <c r="AC66" s="13">
        <v>2</v>
      </c>
      <c r="AD66" s="12">
        <v>2</v>
      </c>
      <c r="AE66" s="8"/>
      <c r="AF66" s="1">
        <v>0</v>
      </c>
      <c r="AG66" s="1">
        <v>0</v>
      </c>
      <c r="AH66" s="1">
        <v>0</v>
      </c>
      <c r="AI66" s="9">
        <v>0</v>
      </c>
      <c r="AJ66" s="9">
        <v>0</v>
      </c>
      <c r="AK66" s="9">
        <v>0</v>
      </c>
      <c r="AL66" s="9">
        <v>0</v>
      </c>
      <c r="AM66" s="10">
        <f t="shared" ref="AM66:AM67" si="29">SUM(AF66:AL66)</f>
        <v>0</v>
      </c>
    </row>
    <row r="67" spans="1:43" x14ac:dyDescent="0.25">
      <c r="B67" s="4"/>
      <c r="C67" s="11"/>
      <c r="D67" s="12">
        <v>0</v>
      </c>
      <c r="E67" s="13">
        <v>2</v>
      </c>
      <c r="F67" s="12">
        <v>2</v>
      </c>
      <c r="G67" s="13">
        <v>2</v>
      </c>
      <c r="H67" s="12">
        <v>2</v>
      </c>
      <c r="I67" s="13">
        <v>2</v>
      </c>
      <c r="J67" s="12">
        <v>2</v>
      </c>
      <c r="K67" s="8"/>
      <c r="L67" s="1">
        <v>0</v>
      </c>
      <c r="M67" s="1">
        <v>0</v>
      </c>
      <c r="N67" s="1">
        <v>0</v>
      </c>
      <c r="O67" s="9">
        <v>0</v>
      </c>
      <c r="P67" s="9">
        <v>0</v>
      </c>
      <c r="Q67" s="9">
        <v>0</v>
      </c>
      <c r="R67" s="9">
        <v>0</v>
      </c>
      <c r="S67" s="10">
        <f t="shared" si="28"/>
        <v>0</v>
      </c>
      <c r="V67" s="4"/>
      <c r="W67" s="11"/>
      <c r="X67" s="12">
        <v>0</v>
      </c>
      <c r="Y67" s="13">
        <v>2</v>
      </c>
      <c r="Z67" s="12">
        <v>2</v>
      </c>
      <c r="AA67" s="13">
        <v>2</v>
      </c>
      <c r="AB67" s="12">
        <v>2</v>
      </c>
      <c r="AC67" s="13">
        <v>2</v>
      </c>
      <c r="AD67" s="12">
        <v>2</v>
      </c>
      <c r="AE67" s="8"/>
      <c r="AF67" s="1">
        <v>0</v>
      </c>
      <c r="AG67" s="1">
        <v>0</v>
      </c>
      <c r="AH67" s="1">
        <v>0</v>
      </c>
      <c r="AI67" s="9">
        <v>0</v>
      </c>
      <c r="AJ67" s="9">
        <v>0</v>
      </c>
      <c r="AK67" s="9">
        <v>0</v>
      </c>
      <c r="AL67" s="9">
        <v>0</v>
      </c>
      <c r="AM67" s="10">
        <f t="shared" si="29"/>
        <v>0</v>
      </c>
    </row>
    <row r="68" spans="1:43" x14ac:dyDescent="0.25">
      <c r="K68" s="28">
        <f>SUM(K70:K84)</f>
        <v>214786.68000000002</v>
      </c>
      <c r="AE68" s="28">
        <f>SUM(AE70:AE84)</f>
        <v>220146.34999999998</v>
      </c>
    </row>
    <row r="69" spans="1:43" x14ac:dyDescent="0.25">
      <c r="A69" s="3" t="s">
        <v>0</v>
      </c>
      <c r="B69" s="3" t="s">
        <v>1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8</v>
      </c>
      <c r="J69" s="3" t="s">
        <v>9</v>
      </c>
      <c r="K69" s="3" t="s">
        <v>10</v>
      </c>
      <c r="L69" s="3" t="s">
        <v>11</v>
      </c>
      <c r="M69" s="3" t="s">
        <v>12</v>
      </c>
      <c r="N69" s="3" t="s">
        <v>13</v>
      </c>
      <c r="O69" s="3" t="s">
        <v>14</v>
      </c>
      <c r="P69" s="3" t="s">
        <v>15</v>
      </c>
      <c r="Q69" s="3" t="s">
        <v>16</v>
      </c>
      <c r="R69" s="3" t="s">
        <v>17</v>
      </c>
      <c r="S69" s="3" t="s">
        <v>18</v>
      </c>
      <c r="U69" s="3" t="s">
        <v>0</v>
      </c>
      <c r="V69" s="3" t="s">
        <v>1</v>
      </c>
      <c r="W69" s="3" t="s">
        <v>2</v>
      </c>
      <c r="X69" s="3" t="s">
        <v>3</v>
      </c>
      <c r="Y69" s="3" t="s">
        <v>4</v>
      </c>
      <c r="Z69" s="3" t="s">
        <v>5</v>
      </c>
      <c r="AA69" s="3" t="s">
        <v>6</v>
      </c>
      <c r="AB69" s="3" t="s">
        <v>7</v>
      </c>
      <c r="AC69" s="3" t="s">
        <v>8</v>
      </c>
      <c r="AD69" s="3" t="s">
        <v>9</v>
      </c>
      <c r="AE69" s="3" t="s">
        <v>10</v>
      </c>
      <c r="AF69" s="3" t="s">
        <v>11</v>
      </c>
      <c r="AG69" s="3" t="s">
        <v>12</v>
      </c>
      <c r="AH69" s="3" t="s">
        <v>13</v>
      </c>
      <c r="AI69" s="3" t="s">
        <v>14</v>
      </c>
      <c r="AJ69" s="3" t="s">
        <v>15</v>
      </c>
      <c r="AK69" s="3" t="s">
        <v>16</v>
      </c>
      <c r="AL69" s="3" t="s">
        <v>17</v>
      </c>
      <c r="AM69" s="3" t="s">
        <v>18</v>
      </c>
    </row>
    <row r="70" spans="1:43" x14ac:dyDescent="0.25">
      <c r="A70" t="s">
        <v>19</v>
      </c>
      <c r="B70" s="4"/>
      <c r="C70" s="5"/>
      <c r="D70" s="6">
        <v>15</v>
      </c>
      <c r="E70" s="7">
        <f>8+5/6</f>
        <v>8.8333333333333339</v>
      </c>
      <c r="F70" s="6">
        <v>0</v>
      </c>
      <c r="G70" s="7">
        <v>0</v>
      </c>
      <c r="H70" s="6">
        <v>0</v>
      </c>
      <c r="I70" s="7">
        <v>0</v>
      </c>
      <c r="J70" s="6">
        <v>10</v>
      </c>
      <c r="K70" s="8">
        <f>(24270+655)*1.03</f>
        <v>25672.75</v>
      </c>
      <c r="L70" s="1">
        <v>52</v>
      </c>
      <c r="M70" s="1">
        <v>29</v>
      </c>
      <c r="N70" s="1">
        <v>0</v>
      </c>
      <c r="O70" s="9">
        <v>0</v>
      </c>
      <c r="P70" s="9">
        <v>0</v>
      </c>
      <c r="Q70" s="9">
        <v>0</v>
      </c>
      <c r="R70" s="9">
        <v>8</v>
      </c>
      <c r="S70" s="10">
        <f>SUM(L70:R70)</f>
        <v>89</v>
      </c>
      <c r="U70" t="s">
        <v>19</v>
      </c>
      <c r="V70" s="4"/>
      <c r="W70" s="5"/>
      <c r="X70" s="6">
        <v>15</v>
      </c>
      <c r="Y70" s="7">
        <f>8+5/6</f>
        <v>8.8333333333333339</v>
      </c>
      <c r="Z70" s="6">
        <v>0</v>
      </c>
      <c r="AA70" s="7">
        <v>0</v>
      </c>
      <c r="AB70" s="6">
        <v>0</v>
      </c>
      <c r="AC70" s="7">
        <v>0</v>
      </c>
      <c r="AD70" s="6">
        <v>19</v>
      </c>
      <c r="AE70" s="8">
        <f>(24270+655)*1.06</f>
        <v>26420.5</v>
      </c>
      <c r="AF70" s="1">
        <v>52</v>
      </c>
      <c r="AG70" s="1">
        <v>29</v>
      </c>
      <c r="AH70" s="1">
        <v>0</v>
      </c>
      <c r="AI70" s="9">
        <v>0</v>
      </c>
      <c r="AJ70" s="9">
        <v>0</v>
      </c>
      <c r="AK70" s="9">
        <v>0</v>
      </c>
      <c r="AL70" s="9">
        <v>33</v>
      </c>
      <c r="AM70" s="10">
        <f>SUM(AF70:AL70)</f>
        <v>114</v>
      </c>
    </row>
    <row r="71" spans="1:43" x14ac:dyDescent="0.25">
      <c r="A71" t="s">
        <v>21</v>
      </c>
      <c r="B71" s="4"/>
      <c r="C71" s="11" t="s">
        <v>74</v>
      </c>
      <c r="D71" s="12">
        <v>0</v>
      </c>
      <c r="E71" s="13">
        <v>14</v>
      </c>
      <c r="F71" s="12">
        <v>2</v>
      </c>
      <c r="G71" s="13">
        <v>2</v>
      </c>
      <c r="H71" s="12">
        <v>2</v>
      </c>
      <c r="I71" s="13">
        <v>9</v>
      </c>
      <c r="J71" s="12">
        <v>2</v>
      </c>
      <c r="K71" s="8">
        <f>(18370+1310)*1.012</f>
        <v>19916.16</v>
      </c>
      <c r="L71" s="1">
        <v>0</v>
      </c>
      <c r="M71" s="1">
        <v>79</v>
      </c>
      <c r="N71" s="1">
        <v>0</v>
      </c>
      <c r="O71" s="9">
        <v>0</v>
      </c>
      <c r="P71" s="9">
        <v>0</v>
      </c>
      <c r="Q71" s="9">
        <v>27</v>
      </c>
      <c r="R71" s="9">
        <v>0</v>
      </c>
      <c r="S71" s="10">
        <f t="shared" ref="S71" si="30">SUM(L71:R71)</f>
        <v>106</v>
      </c>
      <c r="U71" t="s">
        <v>21</v>
      </c>
      <c r="V71" s="4"/>
      <c r="W71" s="11" t="s">
        <v>74</v>
      </c>
      <c r="X71" s="12">
        <v>0</v>
      </c>
      <c r="Y71" s="13">
        <v>14</v>
      </c>
      <c r="Z71" s="12">
        <v>2</v>
      </c>
      <c r="AA71" s="13">
        <v>2</v>
      </c>
      <c r="AB71" s="12">
        <v>2</v>
      </c>
      <c r="AC71" s="13">
        <v>9</v>
      </c>
      <c r="AD71" s="12">
        <v>14.3</v>
      </c>
      <c r="AE71" s="8">
        <f>(18370+1310)*1.04</f>
        <v>20467.2</v>
      </c>
      <c r="AF71" s="1">
        <v>0</v>
      </c>
      <c r="AG71" s="1">
        <v>79</v>
      </c>
      <c r="AH71" s="1">
        <v>0</v>
      </c>
      <c r="AI71" s="9">
        <v>0</v>
      </c>
      <c r="AJ71" s="9">
        <v>0</v>
      </c>
      <c r="AK71" s="9">
        <v>27</v>
      </c>
      <c r="AL71" s="9">
        <v>21</v>
      </c>
      <c r="AM71" s="10">
        <f t="shared" ref="AM71" si="31">SUM(AF71:AL71)</f>
        <v>127</v>
      </c>
    </row>
    <row r="72" spans="1:43" x14ac:dyDescent="0.25">
      <c r="A72" t="s">
        <v>23</v>
      </c>
      <c r="B72" s="4"/>
      <c r="C72" s="11" t="s">
        <v>42</v>
      </c>
      <c r="D72" s="12">
        <v>0</v>
      </c>
      <c r="E72" s="13">
        <v>14</v>
      </c>
      <c r="F72" s="12">
        <v>2</v>
      </c>
      <c r="G72" s="13">
        <v>2</v>
      </c>
      <c r="H72" s="12">
        <v>7</v>
      </c>
      <c r="I72" s="13">
        <v>9</v>
      </c>
      <c r="J72" s="12">
        <v>2</v>
      </c>
      <c r="K72" s="8">
        <f>(18370+1310+125)*1.012</f>
        <v>20042.66</v>
      </c>
      <c r="L72" s="1">
        <v>0</v>
      </c>
      <c r="M72" s="1">
        <v>79</v>
      </c>
      <c r="N72" s="1">
        <v>0</v>
      </c>
      <c r="O72" s="9">
        <v>0</v>
      </c>
      <c r="P72" s="9">
        <v>14</v>
      </c>
      <c r="Q72" s="9">
        <v>27</v>
      </c>
      <c r="R72" s="9">
        <v>0</v>
      </c>
      <c r="S72" s="10">
        <f>SUM(L72:R72)</f>
        <v>120</v>
      </c>
      <c r="U72" t="s">
        <v>23</v>
      </c>
      <c r="V72" s="4"/>
      <c r="W72" s="11" t="s">
        <v>42</v>
      </c>
      <c r="X72" s="12">
        <v>0</v>
      </c>
      <c r="Y72" s="13">
        <v>14</v>
      </c>
      <c r="Z72" s="12">
        <v>2</v>
      </c>
      <c r="AA72" s="13">
        <v>2</v>
      </c>
      <c r="AB72" s="12">
        <v>7</v>
      </c>
      <c r="AC72" s="13">
        <v>9</v>
      </c>
      <c r="AD72" s="12">
        <v>14.3</v>
      </c>
      <c r="AE72" s="8">
        <f>(18370+1310+125)*1.04</f>
        <v>20597.2</v>
      </c>
      <c r="AF72" s="1">
        <v>0</v>
      </c>
      <c r="AG72" s="1">
        <v>79</v>
      </c>
      <c r="AH72" s="1">
        <v>0</v>
      </c>
      <c r="AI72" s="9">
        <v>0</v>
      </c>
      <c r="AJ72" s="9">
        <v>14</v>
      </c>
      <c r="AK72" s="9">
        <v>27</v>
      </c>
      <c r="AL72" s="9">
        <v>21</v>
      </c>
      <c r="AM72" s="10">
        <f>SUM(AF72:AL72)</f>
        <v>141</v>
      </c>
    </row>
    <row r="73" spans="1:43" x14ac:dyDescent="0.25">
      <c r="A73" t="s">
        <v>24</v>
      </c>
      <c r="B73" s="4"/>
      <c r="C73" s="11" t="s">
        <v>50</v>
      </c>
      <c r="D73" s="12">
        <v>0</v>
      </c>
      <c r="E73" s="13">
        <v>12</v>
      </c>
      <c r="F73" s="12">
        <v>5</v>
      </c>
      <c r="G73" s="13">
        <v>2</v>
      </c>
      <c r="H73" s="12">
        <v>2</v>
      </c>
      <c r="I73" s="13">
        <v>10</v>
      </c>
      <c r="J73" s="12">
        <v>10</v>
      </c>
      <c r="K73" s="8">
        <f>(7010+135+1315)*1.03</f>
        <v>8713.8000000000011</v>
      </c>
      <c r="L73" s="1">
        <v>0</v>
      </c>
      <c r="M73" s="1">
        <v>56</v>
      </c>
      <c r="N73" s="1">
        <v>9</v>
      </c>
      <c r="O73" s="9">
        <v>0</v>
      </c>
      <c r="P73" s="9">
        <v>0</v>
      </c>
      <c r="Q73" s="9">
        <v>33</v>
      </c>
      <c r="R73" s="9">
        <v>8</v>
      </c>
      <c r="S73" s="10">
        <f>SUM(L73:R73)</f>
        <v>106</v>
      </c>
      <c r="U73" t="s">
        <v>24</v>
      </c>
      <c r="V73" s="4"/>
      <c r="W73" s="11" t="s">
        <v>50</v>
      </c>
      <c r="X73" s="12">
        <v>0</v>
      </c>
      <c r="Y73" s="13">
        <v>12</v>
      </c>
      <c r="Z73" s="12">
        <v>5</v>
      </c>
      <c r="AA73" s="13">
        <v>2</v>
      </c>
      <c r="AB73" s="12">
        <v>2</v>
      </c>
      <c r="AC73" s="13">
        <v>10</v>
      </c>
      <c r="AD73" s="12">
        <v>17</v>
      </c>
      <c r="AE73" s="8">
        <f>(7010+135+1315)*1.05</f>
        <v>8883</v>
      </c>
      <c r="AF73" s="1">
        <v>0</v>
      </c>
      <c r="AG73" s="1">
        <v>56</v>
      </c>
      <c r="AH73" s="1">
        <v>9</v>
      </c>
      <c r="AI73" s="9">
        <v>0</v>
      </c>
      <c r="AJ73" s="9">
        <v>0</v>
      </c>
      <c r="AK73" s="9">
        <v>33</v>
      </c>
      <c r="AL73" s="9">
        <v>33</v>
      </c>
      <c r="AM73" s="10">
        <f>SUM(AF73:AL73)</f>
        <v>131</v>
      </c>
    </row>
    <row r="74" spans="1:43" x14ac:dyDescent="0.25">
      <c r="A74" t="s">
        <v>25</v>
      </c>
      <c r="B74" s="4"/>
      <c r="C74" s="11" t="s">
        <v>50</v>
      </c>
      <c r="D74" s="12">
        <v>0</v>
      </c>
      <c r="E74" s="13">
        <v>12</v>
      </c>
      <c r="F74" s="12">
        <v>5</v>
      </c>
      <c r="G74" s="13">
        <v>2</v>
      </c>
      <c r="H74" s="12">
        <v>2</v>
      </c>
      <c r="I74" s="13">
        <v>10</v>
      </c>
      <c r="J74" s="12">
        <v>10</v>
      </c>
      <c r="K74" s="8">
        <f>(7010+135+1315)*1.03</f>
        <v>8713.8000000000011</v>
      </c>
      <c r="L74" s="1">
        <v>0</v>
      </c>
      <c r="M74" s="1">
        <v>56</v>
      </c>
      <c r="N74" s="1">
        <v>9</v>
      </c>
      <c r="O74" s="9">
        <v>0</v>
      </c>
      <c r="P74" s="9">
        <v>0</v>
      </c>
      <c r="Q74" s="9">
        <v>33</v>
      </c>
      <c r="R74" s="9">
        <v>8</v>
      </c>
      <c r="S74" s="10">
        <f t="shared" ref="S74:S75" si="32">SUM(L74:R74)</f>
        <v>106</v>
      </c>
      <c r="U74" t="s">
        <v>25</v>
      </c>
      <c r="V74" s="4"/>
      <c r="W74" s="11" t="s">
        <v>50</v>
      </c>
      <c r="X74" s="12">
        <v>0</v>
      </c>
      <c r="Y74" s="13">
        <v>12</v>
      </c>
      <c r="Z74" s="12">
        <v>5</v>
      </c>
      <c r="AA74" s="13">
        <v>2</v>
      </c>
      <c r="AB74" s="12">
        <v>2</v>
      </c>
      <c r="AC74" s="13">
        <v>10</v>
      </c>
      <c r="AD74" s="12">
        <v>17</v>
      </c>
      <c r="AE74" s="8">
        <f>(7010+135+1315)*1.05</f>
        <v>8883</v>
      </c>
      <c r="AF74" s="1">
        <v>0</v>
      </c>
      <c r="AG74" s="1">
        <v>56</v>
      </c>
      <c r="AH74" s="1">
        <v>9</v>
      </c>
      <c r="AI74" s="9">
        <v>0</v>
      </c>
      <c r="AJ74" s="9">
        <v>0</v>
      </c>
      <c r="AK74" s="9">
        <v>33</v>
      </c>
      <c r="AL74" s="9">
        <v>33</v>
      </c>
      <c r="AM74" s="10">
        <f t="shared" ref="AM74:AM75" si="33">SUM(AF74:AL74)</f>
        <v>131</v>
      </c>
    </row>
    <row r="75" spans="1:43" x14ac:dyDescent="0.25">
      <c r="A75" t="s">
        <v>26</v>
      </c>
      <c r="B75" s="4"/>
      <c r="C75" s="11"/>
      <c r="D75" s="12">
        <v>0</v>
      </c>
      <c r="E75" s="13">
        <v>12</v>
      </c>
      <c r="F75" s="12">
        <v>5</v>
      </c>
      <c r="G75" s="13">
        <v>2</v>
      </c>
      <c r="H75" s="12">
        <v>2</v>
      </c>
      <c r="I75" s="13">
        <v>10</v>
      </c>
      <c r="J75" s="12">
        <v>10</v>
      </c>
      <c r="K75" s="8">
        <f>(7010+135+1315)*1.03</f>
        <v>8713.8000000000011</v>
      </c>
      <c r="L75" s="1">
        <v>0</v>
      </c>
      <c r="M75" s="1">
        <v>56</v>
      </c>
      <c r="N75" s="1">
        <v>9</v>
      </c>
      <c r="O75" s="9">
        <v>0</v>
      </c>
      <c r="P75" s="9">
        <v>0</v>
      </c>
      <c r="Q75" s="9">
        <v>33</v>
      </c>
      <c r="R75" s="9">
        <v>8</v>
      </c>
      <c r="S75" s="10">
        <f t="shared" si="32"/>
        <v>106</v>
      </c>
      <c r="U75" t="s">
        <v>26</v>
      </c>
      <c r="V75" s="4"/>
      <c r="W75" s="11"/>
      <c r="X75" s="12">
        <v>0</v>
      </c>
      <c r="Y75" s="13">
        <v>12</v>
      </c>
      <c r="Z75" s="12">
        <v>5</v>
      </c>
      <c r="AA75" s="13">
        <v>2</v>
      </c>
      <c r="AB75" s="12">
        <v>2</v>
      </c>
      <c r="AC75" s="13">
        <v>10</v>
      </c>
      <c r="AD75" s="12">
        <v>17</v>
      </c>
      <c r="AE75" s="8">
        <f>(7010+135+1315)*1.05</f>
        <v>8883</v>
      </c>
      <c r="AF75" s="1">
        <v>0</v>
      </c>
      <c r="AG75" s="1">
        <v>56</v>
      </c>
      <c r="AH75" s="1">
        <v>9</v>
      </c>
      <c r="AI75" s="9">
        <v>0</v>
      </c>
      <c r="AJ75" s="9">
        <v>0</v>
      </c>
      <c r="AK75" s="9">
        <v>33</v>
      </c>
      <c r="AL75" s="9">
        <v>33</v>
      </c>
      <c r="AM75" s="10">
        <f t="shared" si="33"/>
        <v>131</v>
      </c>
    </row>
    <row r="76" spans="1:43" x14ac:dyDescent="0.25">
      <c r="A76" t="s">
        <v>27</v>
      </c>
      <c r="B76" s="4"/>
      <c r="C76" s="11"/>
      <c r="D76" s="12">
        <v>0</v>
      </c>
      <c r="E76" s="13">
        <v>12</v>
      </c>
      <c r="F76" s="12">
        <v>5</v>
      </c>
      <c r="G76" s="13">
        <v>2</v>
      </c>
      <c r="H76" s="12">
        <v>2</v>
      </c>
      <c r="I76" s="13">
        <v>10</v>
      </c>
      <c r="J76" s="12">
        <v>10</v>
      </c>
      <c r="K76" s="8">
        <f>(7010+135+1315)*1.03</f>
        <v>8713.8000000000011</v>
      </c>
      <c r="L76" s="1">
        <v>0</v>
      </c>
      <c r="M76" s="1">
        <v>56</v>
      </c>
      <c r="N76" s="1">
        <v>9</v>
      </c>
      <c r="O76" s="9">
        <v>0</v>
      </c>
      <c r="P76" s="9">
        <v>0</v>
      </c>
      <c r="Q76" s="9">
        <v>33</v>
      </c>
      <c r="R76" s="9">
        <v>8</v>
      </c>
      <c r="S76" s="10">
        <f t="shared" ref="S76:S80" si="34">SUM(L76:R76)</f>
        <v>106</v>
      </c>
      <c r="U76" t="s">
        <v>27</v>
      </c>
      <c r="V76" s="4"/>
      <c r="W76" s="11"/>
      <c r="X76" s="12">
        <v>0</v>
      </c>
      <c r="Y76" s="13">
        <v>12</v>
      </c>
      <c r="Z76" s="12">
        <v>5</v>
      </c>
      <c r="AA76" s="13">
        <v>2</v>
      </c>
      <c r="AB76" s="12">
        <v>2</v>
      </c>
      <c r="AC76" s="13">
        <v>10</v>
      </c>
      <c r="AD76" s="12">
        <v>17</v>
      </c>
      <c r="AE76" s="8">
        <f>(7010+135+1315)*1.05</f>
        <v>8883</v>
      </c>
      <c r="AF76" s="1">
        <v>0</v>
      </c>
      <c r="AG76" s="1">
        <v>56</v>
      </c>
      <c r="AH76" s="1">
        <v>9</v>
      </c>
      <c r="AI76" s="9">
        <v>0</v>
      </c>
      <c r="AJ76" s="9">
        <v>0</v>
      </c>
      <c r="AK76" s="9">
        <v>33</v>
      </c>
      <c r="AL76" s="9">
        <v>33</v>
      </c>
      <c r="AM76" s="10">
        <f t="shared" ref="AM76:AM80" si="35">SUM(AF76:AL76)</f>
        <v>131</v>
      </c>
      <c r="AO76" t="s">
        <v>83</v>
      </c>
      <c r="AP76" s="26" t="s">
        <v>84</v>
      </c>
    </row>
    <row r="77" spans="1:43" x14ac:dyDescent="0.25">
      <c r="A77" t="s">
        <v>28</v>
      </c>
      <c r="B77" s="4"/>
      <c r="C77" s="11" t="s">
        <v>74</v>
      </c>
      <c r="D77" s="12">
        <v>0</v>
      </c>
      <c r="E77" s="13">
        <f>7+1/6</f>
        <v>7.166666666666667</v>
      </c>
      <c r="F77" s="12">
        <v>13</v>
      </c>
      <c r="G77" s="13">
        <v>2</v>
      </c>
      <c r="H77" s="12">
        <v>2</v>
      </c>
      <c r="I77" s="13">
        <v>10</v>
      </c>
      <c r="J77" s="12">
        <v>10</v>
      </c>
      <c r="K77" s="8">
        <f>(14490+1310+250)*1.03</f>
        <v>16531.5</v>
      </c>
      <c r="L77" s="1">
        <v>0</v>
      </c>
      <c r="M77" s="1">
        <v>19</v>
      </c>
      <c r="N77" s="1">
        <v>58</v>
      </c>
      <c r="O77" s="9">
        <v>0</v>
      </c>
      <c r="P77" s="9">
        <v>0</v>
      </c>
      <c r="Q77" s="9">
        <v>33</v>
      </c>
      <c r="R77" s="9">
        <v>8</v>
      </c>
      <c r="S77" s="10">
        <f t="shared" si="34"/>
        <v>118</v>
      </c>
      <c r="U77" t="s">
        <v>28</v>
      </c>
      <c r="V77" s="4"/>
      <c r="W77" s="11" t="s">
        <v>74</v>
      </c>
      <c r="X77" s="12">
        <v>0</v>
      </c>
      <c r="Y77" s="13">
        <f>7+1/6</f>
        <v>7.166666666666667</v>
      </c>
      <c r="Z77" s="12">
        <v>13</v>
      </c>
      <c r="AA77" s="13">
        <v>2</v>
      </c>
      <c r="AB77" s="12">
        <v>2</v>
      </c>
      <c r="AC77" s="13">
        <v>10</v>
      </c>
      <c r="AD77" s="12">
        <v>19</v>
      </c>
      <c r="AE77" s="8">
        <f>(14490+1310+250)*1.06</f>
        <v>17013</v>
      </c>
      <c r="AF77" s="1">
        <v>0</v>
      </c>
      <c r="AG77" s="1">
        <v>19</v>
      </c>
      <c r="AH77" s="1">
        <v>58</v>
      </c>
      <c r="AI77" s="9">
        <v>0</v>
      </c>
      <c r="AJ77" s="9">
        <v>0</v>
      </c>
      <c r="AK77" s="9">
        <v>33</v>
      </c>
      <c r="AL77" s="9">
        <v>33</v>
      </c>
      <c r="AM77" s="10">
        <f t="shared" si="35"/>
        <v>143</v>
      </c>
      <c r="AO77">
        <f>33-8</f>
        <v>25</v>
      </c>
      <c r="AP77" s="27">
        <f>AO77/16</f>
        <v>1.5625</v>
      </c>
      <c r="AQ77" t="s">
        <v>85</v>
      </c>
    </row>
    <row r="78" spans="1:43" x14ac:dyDescent="0.25">
      <c r="A78" t="s">
        <v>29</v>
      </c>
      <c r="B78" s="4"/>
      <c r="C78" s="11" t="s">
        <v>50</v>
      </c>
      <c r="D78" s="12">
        <v>0</v>
      </c>
      <c r="E78" s="13">
        <f>7+1/6</f>
        <v>7.166666666666667</v>
      </c>
      <c r="F78" s="12">
        <v>13</v>
      </c>
      <c r="G78" s="13">
        <v>2</v>
      </c>
      <c r="H78" s="12">
        <v>2</v>
      </c>
      <c r="I78" s="13">
        <v>10</v>
      </c>
      <c r="J78" s="12">
        <v>10</v>
      </c>
      <c r="K78" s="8">
        <f>(14490+1310+250)*1.03</f>
        <v>16531.5</v>
      </c>
      <c r="L78" s="1">
        <v>0</v>
      </c>
      <c r="M78" s="1">
        <v>19</v>
      </c>
      <c r="N78" s="1">
        <v>58</v>
      </c>
      <c r="O78" s="9">
        <v>0</v>
      </c>
      <c r="P78" s="9">
        <v>0</v>
      </c>
      <c r="Q78" s="9">
        <v>33</v>
      </c>
      <c r="R78" s="9">
        <v>8</v>
      </c>
      <c r="S78" s="10">
        <f t="shared" si="34"/>
        <v>118</v>
      </c>
      <c r="U78" t="s">
        <v>29</v>
      </c>
      <c r="V78" s="4"/>
      <c r="W78" s="11" t="s">
        <v>50</v>
      </c>
      <c r="X78" s="12">
        <v>0</v>
      </c>
      <c r="Y78" s="13">
        <f>7+1/6</f>
        <v>7.166666666666667</v>
      </c>
      <c r="Z78" s="12">
        <v>13</v>
      </c>
      <c r="AA78" s="13">
        <v>2</v>
      </c>
      <c r="AB78" s="12">
        <v>2</v>
      </c>
      <c r="AC78" s="13">
        <v>10</v>
      </c>
      <c r="AD78" s="12">
        <v>19</v>
      </c>
      <c r="AE78" s="8">
        <f>(14490+1310+250)*1.06</f>
        <v>17013</v>
      </c>
      <c r="AF78" s="1">
        <v>0</v>
      </c>
      <c r="AG78" s="1">
        <v>19</v>
      </c>
      <c r="AH78" s="1">
        <v>58</v>
      </c>
      <c r="AI78" s="9">
        <v>0</v>
      </c>
      <c r="AJ78" s="9">
        <v>0</v>
      </c>
      <c r="AK78" s="9">
        <v>33</v>
      </c>
      <c r="AL78" s="9">
        <v>33</v>
      </c>
      <c r="AM78" s="10">
        <f t="shared" si="35"/>
        <v>143</v>
      </c>
    </row>
    <row r="79" spans="1:43" x14ac:dyDescent="0.25">
      <c r="A79" t="s">
        <v>72</v>
      </c>
      <c r="B79" s="4"/>
      <c r="C79" s="11" t="s">
        <v>50</v>
      </c>
      <c r="D79" s="12">
        <v>0</v>
      </c>
      <c r="E79" s="13">
        <f>7+1/6</f>
        <v>7.166666666666667</v>
      </c>
      <c r="F79" s="12">
        <v>13</v>
      </c>
      <c r="G79" s="13">
        <v>2</v>
      </c>
      <c r="H79" s="12">
        <v>2</v>
      </c>
      <c r="I79" s="13">
        <v>10</v>
      </c>
      <c r="J79" s="12">
        <v>10</v>
      </c>
      <c r="K79" s="8">
        <f>(14490+1310+250)*1.03</f>
        <v>16531.5</v>
      </c>
      <c r="L79" s="1">
        <v>0</v>
      </c>
      <c r="M79" s="1">
        <v>19</v>
      </c>
      <c r="N79" s="1">
        <v>58</v>
      </c>
      <c r="O79" s="9">
        <v>0</v>
      </c>
      <c r="P79" s="9">
        <v>0</v>
      </c>
      <c r="Q79" s="9">
        <v>33</v>
      </c>
      <c r="R79" s="9">
        <v>8</v>
      </c>
      <c r="S79" s="10">
        <f t="shared" si="34"/>
        <v>118</v>
      </c>
      <c r="U79" t="s">
        <v>72</v>
      </c>
      <c r="V79" s="4"/>
      <c r="W79" s="11" t="s">
        <v>50</v>
      </c>
      <c r="X79" s="12">
        <v>0</v>
      </c>
      <c r="Y79" s="13">
        <f>7+1/6</f>
        <v>7.166666666666667</v>
      </c>
      <c r="Z79" s="12">
        <v>13</v>
      </c>
      <c r="AA79" s="13">
        <v>2</v>
      </c>
      <c r="AB79" s="12">
        <v>2</v>
      </c>
      <c r="AC79" s="13">
        <v>10</v>
      </c>
      <c r="AD79" s="12">
        <v>19</v>
      </c>
      <c r="AE79" s="8">
        <f>(14490+1310+250)*1.06</f>
        <v>17013</v>
      </c>
      <c r="AF79" s="1">
        <v>0</v>
      </c>
      <c r="AG79" s="1">
        <v>19</v>
      </c>
      <c r="AH79" s="1">
        <v>58</v>
      </c>
      <c r="AI79" s="9">
        <v>0</v>
      </c>
      <c r="AJ79" s="9">
        <v>0</v>
      </c>
      <c r="AK79" s="9">
        <v>33</v>
      </c>
      <c r="AL79" s="9">
        <v>33</v>
      </c>
      <c r="AM79" s="10">
        <f t="shared" si="35"/>
        <v>143</v>
      </c>
    </row>
    <row r="80" spans="1:43" x14ac:dyDescent="0.25">
      <c r="A80" t="s">
        <v>31</v>
      </c>
      <c r="B80" s="4"/>
      <c r="C80" s="11" t="s">
        <v>73</v>
      </c>
      <c r="D80" s="12">
        <v>0</v>
      </c>
      <c r="E80" s="13">
        <v>5.5</v>
      </c>
      <c r="F80" s="12">
        <f>9+1/7</f>
        <v>9.1428571428571423</v>
      </c>
      <c r="G80" s="13">
        <v>9</v>
      </c>
      <c r="H80" s="12">
        <v>9</v>
      </c>
      <c r="I80" s="13">
        <v>10</v>
      </c>
      <c r="J80" s="12">
        <v>2</v>
      </c>
      <c r="K80" s="8">
        <f>(2630+785+1570+150)*1.012</f>
        <v>5196.62</v>
      </c>
      <c r="L80" s="1">
        <v>0</v>
      </c>
      <c r="M80" s="1">
        <v>12</v>
      </c>
      <c r="N80" s="1">
        <v>27</v>
      </c>
      <c r="O80" s="9">
        <v>18</v>
      </c>
      <c r="P80" s="9">
        <v>23</v>
      </c>
      <c r="Q80" s="9">
        <v>33</v>
      </c>
      <c r="R80" s="9">
        <v>0</v>
      </c>
      <c r="S80" s="10">
        <f t="shared" si="34"/>
        <v>113</v>
      </c>
      <c r="U80" t="s">
        <v>31</v>
      </c>
      <c r="V80" s="4"/>
      <c r="W80" s="11" t="s">
        <v>73</v>
      </c>
      <c r="X80" s="12">
        <v>0</v>
      </c>
      <c r="Y80" s="13">
        <v>5.5</v>
      </c>
      <c r="Z80" s="12">
        <f>9+1/7</f>
        <v>9.1428571428571423</v>
      </c>
      <c r="AA80" s="13">
        <v>9</v>
      </c>
      <c r="AB80" s="12">
        <v>9</v>
      </c>
      <c r="AC80" s="13">
        <v>10</v>
      </c>
      <c r="AD80" s="12">
        <v>14.25</v>
      </c>
      <c r="AE80" s="8">
        <f>(2630+785+1570+150)*1.04</f>
        <v>5340.4000000000005</v>
      </c>
      <c r="AF80" s="1">
        <v>0</v>
      </c>
      <c r="AG80" s="1">
        <v>12</v>
      </c>
      <c r="AH80" s="1">
        <v>27</v>
      </c>
      <c r="AI80" s="9">
        <v>18</v>
      </c>
      <c r="AJ80" s="9">
        <v>23</v>
      </c>
      <c r="AK80" s="9">
        <v>33</v>
      </c>
      <c r="AL80" s="9">
        <v>21</v>
      </c>
      <c r="AM80" s="10">
        <f t="shared" si="35"/>
        <v>134</v>
      </c>
    </row>
    <row r="81" spans="1:39" x14ac:dyDescent="0.25">
      <c r="A81" t="s">
        <v>33</v>
      </c>
      <c r="B81" s="4"/>
      <c r="C81" s="11" t="s">
        <v>42</v>
      </c>
      <c r="D81" s="12">
        <v>0</v>
      </c>
      <c r="E81" s="13">
        <v>5.5</v>
      </c>
      <c r="F81" s="12">
        <f>9+1/7</f>
        <v>9.1428571428571423</v>
      </c>
      <c r="G81" s="13">
        <v>9</v>
      </c>
      <c r="H81" s="12">
        <v>9</v>
      </c>
      <c r="I81" s="13">
        <v>10</v>
      </c>
      <c r="J81" s="12">
        <v>2</v>
      </c>
      <c r="K81" s="8">
        <f>(2630+785+1570+150)*1.012</f>
        <v>5196.62</v>
      </c>
      <c r="L81" s="1">
        <v>0</v>
      </c>
      <c r="M81" s="1">
        <v>12</v>
      </c>
      <c r="N81" s="1">
        <v>27</v>
      </c>
      <c r="O81" s="9">
        <v>18</v>
      </c>
      <c r="P81" s="9">
        <v>23</v>
      </c>
      <c r="Q81" s="9">
        <v>33</v>
      </c>
      <c r="R81" s="9">
        <v>0</v>
      </c>
      <c r="S81" s="10">
        <f>SUM(L81:R81)</f>
        <v>113</v>
      </c>
      <c r="U81" t="s">
        <v>33</v>
      </c>
      <c r="V81" s="4"/>
      <c r="W81" s="11" t="s">
        <v>42</v>
      </c>
      <c r="X81" s="12">
        <v>0</v>
      </c>
      <c r="Y81" s="13">
        <v>5.5</v>
      </c>
      <c r="Z81" s="12">
        <f>9+1/7</f>
        <v>9.1428571428571423</v>
      </c>
      <c r="AA81" s="13">
        <v>9</v>
      </c>
      <c r="AB81" s="12">
        <v>9</v>
      </c>
      <c r="AC81" s="13">
        <v>10</v>
      </c>
      <c r="AD81" s="12">
        <v>14.25</v>
      </c>
      <c r="AE81" s="8">
        <f>(2630+785+1570+150)*1.04</f>
        <v>5340.4000000000005</v>
      </c>
      <c r="AF81" s="1">
        <v>0</v>
      </c>
      <c r="AG81" s="1">
        <v>12</v>
      </c>
      <c r="AH81" s="1">
        <v>27</v>
      </c>
      <c r="AI81" s="9">
        <v>18</v>
      </c>
      <c r="AJ81" s="9">
        <v>23</v>
      </c>
      <c r="AK81" s="9">
        <v>33</v>
      </c>
      <c r="AL81" s="9">
        <v>21</v>
      </c>
      <c r="AM81" s="10">
        <f>SUM(AF81:AL81)</f>
        <v>134</v>
      </c>
    </row>
    <row r="82" spans="1:39" x14ac:dyDescent="0.25">
      <c r="A82" t="s">
        <v>34</v>
      </c>
      <c r="B82" s="4"/>
      <c r="C82" s="11" t="s">
        <v>42</v>
      </c>
      <c r="D82" s="12">
        <v>0</v>
      </c>
      <c r="E82" s="13">
        <v>5.5</v>
      </c>
      <c r="F82" s="12">
        <f>9+1/7</f>
        <v>9.1428571428571423</v>
      </c>
      <c r="G82" s="13">
        <v>9</v>
      </c>
      <c r="H82" s="12">
        <v>9</v>
      </c>
      <c r="I82" s="13">
        <v>10</v>
      </c>
      <c r="J82" s="12">
        <v>2</v>
      </c>
      <c r="K82" s="8">
        <f>(2630+785+1570+150)*1.012</f>
        <v>5196.62</v>
      </c>
      <c r="L82" s="1">
        <v>0</v>
      </c>
      <c r="M82" s="1">
        <v>12</v>
      </c>
      <c r="N82" s="1">
        <v>27</v>
      </c>
      <c r="O82" s="9">
        <v>18</v>
      </c>
      <c r="P82" s="9">
        <v>23</v>
      </c>
      <c r="Q82" s="9">
        <v>33</v>
      </c>
      <c r="R82" s="9">
        <v>0</v>
      </c>
      <c r="S82" s="10">
        <f>SUM(L82:R82)</f>
        <v>113</v>
      </c>
      <c r="U82" t="s">
        <v>34</v>
      </c>
      <c r="V82" s="4"/>
      <c r="W82" s="11" t="s">
        <v>42</v>
      </c>
      <c r="X82" s="12">
        <v>0</v>
      </c>
      <c r="Y82" s="13">
        <v>5.5</v>
      </c>
      <c r="Z82" s="12">
        <f>9+1/7</f>
        <v>9.1428571428571423</v>
      </c>
      <c r="AA82" s="13">
        <v>9</v>
      </c>
      <c r="AB82" s="12">
        <v>9</v>
      </c>
      <c r="AC82" s="13">
        <v>10</v>
      </c>
      <c r="AD82" s="12">
        <v>14.25</v>
      </c>
      <c r="AE82" s="8">
        <f>(2630+785+1570+150)*1.04</f>
        <v>5340.4000000000005</v>
      </c>
      <c r="AF82" s="1">
        <v>0</v>
      </c>
      <c r="AG82" s="1">
        <v>12</v>
      </c>
      <c r="AH82" s="1">
        <v>27</v>
      </c>
      <c r="AI82" s="9">
        <v>18</v>
      </c>
      <c r="AJ82" s="9">
        <v>23</v>
      </c>
      <c r="AK82" s="9">
        <v>33</v>
      </c>
      <c r="AL82" s="9">
        <v>21</v>
      </c>
      <c r="AM82" s="10">
        <f>SUM(AF82:AL82)</f>
        <v>134</v>
      </c>
    </row>
    <row r="83" spans="1:39" x14ac:dyDescent="0.25">
      <c r="A83" t="s">
        <v>35</v>
      </c>
      <c r="B83" s="4"/>
      <c r="C83" s="11" t="s">
        <v>82</v>
      </c>
      <c r="D83" s="12">
        <v>0</v>
      </c>
      <c r="E83" s="13">
        <v>2</v>
      </c>
      <c r="F83" s="12">
        <v>14</v>
      </c>
      <c r="G83" s="13">
        <v>2</v>
      </c>
      <c r="H83" s="12">
        <v>2</v>
      </c>
      <c r="I83" s="13">
        <v>10</v>
      </c>
      <c r="J83" s="12">
        <v>10</v>
      </c>
      <c r="K83" s="8">
        <f>(22460+1310)*1.03</f>
        <v>24483.100000000002</v>
      </c>
      <c r="L83" s="1">
        <v>0</v>
      </c>
      <c r="M83" s="1">
        <v>0</v>
      </c>
      <c r="N83" s="1">
        <v>68</v>
      </c>
      <c r="O83" s="9">
        <v>0</v>
      </c>
      <c r="P83" s="9">
        <v>0</v>
      </c>
      <c r="Q83" s="9">
        <v>33</v>
      </c>
      <c r="R83" s="9">
        <v>8</v>
      </c>
      <c r="S83" s="10">
        <f t="shared" ref="S83:S84" si="36">SUM(L83:R83)</f>
        <v>109</v>
      </c>
      <c r="U83" t="s">
        <v>35</v>
      </c>
      <c r="V83" s="4"/>
      <c r="W83" s="11" t="s">
        <v>82</v>
      </c>
      <c r="X83" s="12">
        <v>0</v>
      </c>
      <c r="Y83" s="13">
        <v>2</v>
      </c>
      <c r="Z83" s="12">
        <v>14</v>
      </c>
      <c r="AA83" s="13">
        <v>2</v>
      </c>
      <c r="AB83" s="12">
        <v>2</v>
      </c>
      <c r="AC83" s="13">
        <v>10</v>
      </c>
      <c r="AD83" s="12">
        <v>17</v>
      </c>
      <c r="AE83" s="8">
        <f>(22460+1310)*1.05</f>
        <v>24958.5</v>
      </c>
      <c r="AF83" s="1">
        <v>0</v>
      </c>
      <c r="AG83" s="1">
        <v>0</v>
      </c>
      <c r="AH83" s="1">
        <v>68</v>
      </c>
      <c r="AI83" s="9">
        <v>0</v>
      </c>
      <c r="AJ83" s="9">
        <v>0</v>
      </c>
      <c r="AK83" s="9">
        <v>33</v>
      </c>
      <c r="AL83" s="9">
        <v>33</v>
      </c>
      <c r="AM83" s="10">
        <f t="shared" ref="AM83:AM84" si="37">SUM(AF83:AL83)</f>
        <v>134</v>
      </c>
    </row>
    <row r="84" spans="1:39" x14ac:dyDescent="0.25">
      <c r="A84" t="s">
        <v>37</v>
      </c>
      <c r="B84" s="4"/>
      <c r="C84" s="11" t="s">
        <v>42</v>
      </c>
      <c r="D84" s="12">
        <v>0</v>
      </c>
      <c r="E84" s="13">
        <v>2</v>
      </c>
      <c r="F84" s="12">
        <v>14</v>
      </c>
      <c r="G84" s="13">
        <v>2</v>
      </c>
      <c r="H84" s="12">
        <v>9</v>
      </c>
      <c r="I84" s="13">
        <v>10</v>
      </c>
      <c r="J84" s="12">
        <v>10</v>
      </c>
      <c r="K84" s="8">
        <f>(22460+1310+145)*1.03</f>
        <v>24632.45</v>
      </c>
      <c r="L84" s="1">
        <v>0</v>
      </c>
      <c r="M84" s="1">
        <v>0</v>
      </c>
      <c r="N84" s="1">
        <v>68</v>
      </c>
      <c r="O84" s="9">
        <v>0</v>
      </c>
      <c r="P84" s="9">
        <v>23</v>
      </c>
      <c r="Q84" s="9">
        <v>33</v>
      </c>
      <c r="R84" s="9">
        <v>8</v>
      </c>
      <c r="S84" s="10">
        <f t="shared" si="36"/>
        <v>132</v>
      </c>
      <c r="U84" t="s">
        <v>37</v>
      </c>
      <c r="V84" s="4"/>
      <c r="W84" s="11" t="s">
        <v>42</v>
      </c>
      <c r="X84" s="12">
        <v>0</v>
      </c>
      <c r="Y84" s="13">
        <v>2</v>
      </c>
      <c r="Z84" s="12">
        <v>14</v>
      </c>
      <c r="AA84" s="13">
        <v>2</v>
      </c>
      <c r="AB84" s="12">
        <v>9</v>
      </c>
      <c r="AC84" s="13">
        <v>10</v>
      </c>
      <c r="AD84" s="12">
        <v>17</v>
      </c>
      <c r="AE84" s="8">
        <f>(22460+1310+145)*1.05</f>
        <v>25110.75</v>
      </c>
      <c r="AF84" s="1">
        <v>0</v>
      </c>
      <c r="AG84" s="1">
        <v>0</v>
      </c>
      <c r="AH84" s="1">
        <v>68</v>
      </c>
      <c r="AI84" s="9">
        <v>0</v>
      </c>
      <c r="AJ84" s="9">
        <v>23</v>
      </c>
      <c r="AK84" s="9">
        <v>33</v>
      </c>
      <c r="AL84" s="9">
        <v>33</v>
      </c>
      <c r="AM84" s="10">
        <f t="shared" si="37"/>
        <v>157</v>
      </c>
    </row>
  </sheetData>
  <conditionalFormatting sqref="D19:J33">
    <cfRule type="colorScale" priority="27">
      <colorScale>
        <cfvo type="min"/>
        <cfvo type="max"/>
        <color rgb="FFFFEF9C"/>
        <color rgb="FF63BE7B"/>
      </colorScale>
    </cfRule>
  </conditionalFormatting>
  <conditionalFormatting sqref="K19:K33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{D57EC332-02FD-4EC0-ACE3-AB5D69AEF68C}</x14:id>
        </ext>
      </extLst>
    </cfRule>
  </conditionalFormatting>
  <conditionalFormatting sqref="L19:R33">
    <cfRule type="colorScale" priority="25">
      <colorScale>
        <cfvo type="min"/>
        <cfvo type="max"/>
        <color rgb="FFFCFCFF"/>
        <color rgb="FF63BE7B"/>
      </colorScale>
    </cfRule>
  </conditionalFormatting>
  <conditionalFormatting sqref="D2:J16">
    <cfRule type="colorScale" priority="24">
      <colorScale>
        <cfvo type="min"/>
        <cfvo type="max"/>
        <color rgb="FFFFEF9C"/>
        <color rgb="FF63BE7B"/>
      </colorScale>
    </cfRule>
  </conditionalFormatting>
  <conditionalFormatting sqref="K2:K1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{A1211AE7-C34D-4AD0-B398-54DB9DC8131A}</x14:id>
        </ext>
      </extLst>
    </cfRule>
  </conditionalFormatting>
  <conditionalFormatting sqref="L2:R16">
    <cfRule type="colorScale" priority="22">
      <colorScale>
        <cfvo type="min"/>
        <cfvo type="max"/>
        <color rgb="FFFCFCFF"/>
        <color rgb="FF63BE7B"/>
      </colorScale>
    </cfRule>
  </conditionalFormatting>
  <conditionalFormatting sqref="X19:AD33">
    <cfRule type="colorScale" priority="21">
      <colorScale>
        <cfvo type="min"/>
        <cfvo type="max"/>
        <color rgb="FFFFEF9C"/>
        <color rgb="FF63BE7B"/>
      </colorScale>
    </cfRule>
  </conditionalFormatting>
  <conditionalFormatting sqref="AE19:AE33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{C2E88FE8-6F04-4961-A035-A2D4358D540B}</x14:id>
        </ext>
      </extLst>
    </cfRule>
  </conditionalFormatting>
  <conditionalFormatting sqref="AF19:AL33">
    <cfRule type="colorScale" priority="19">
      <colorScale>
        <cfvo type="min"/>
        <cfvo type="max"/>
        <color rgb="FFFCFCFF"/>
        <color rgb="FF63BE7B"/>
      </colorScale>
    </cfRule>
  </conditionalFormatting>
  <conditionalFormatting sqref="D36:J50">
    <cfRule type="colorScale" priority="18">
      <colorScale>
        <cfvo type="min"/>
        <cfvo type="max"/>
        <color rgb="FFFFEF9C"/>
        <color rgb="FF63BE7B"/>
      </colorScale>
    </cfRule>
  </conditionalFormatting>
  <conditionalFormatting sqref="K36:K50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{76132F5D-0211-448A-A5D0-4EAC4E225F20}</x14:id>
        </ext>
      </extLst>
    </cfRule>
  </conditionalFormatting>
  <conditionalFormatting sqref="L36:R50">
    <cfRule type="colorScale" priority="16">
      <colorScale>
        <cfvo type="min"/>
        <cfvo type="max"/>
        <color rgb="FFFCFCFF"/>
        <color rgb="FF63BE7B"/>
      </colorScale>
    </cfRule>
  </conditionalFormatting>
  <conditionalFormatting sqref="X36:AD50">
    <cfRule type="colorScale" priority="15">
      <colorScale>
        <cfvo type="min"/>
        <cfvo type="max"/>
        <color rgb="FFFFEF9C"/>
        <color rgb="FF63BE7B"/>
      </colorScale>
    </cfRule>
  </conditionalFormatting>
  <conditionalFormatting sqref="AE36:AE50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{C2079BD4-9065-4B80-B92F-4BB5257CDEE5}</x14:id>
        </ext>
      </extLst>
    </cfRule>
  </conditionalFormatting>
  <conditionalFormatting sqref="AF36:AL50">
    <cfRule type="colorScale" priority="13">
      <colorScale>
        <cfvo type="min"/>
        <cfvo type="max"/>
        <color rgb="FFFCFCFF"/>
        <color rgb="FF63BE7B"/>
      </colorScale>
    </cfRule>
  </conditionalFormatting>
  <conditionalFormatting sqref="D53:J67">
    <cfRule type="colorScale" priority="12">
      <colorScale>
        <cfvo type="min"/>
        <cfvo type="max"/>
        <color rgb="FFFFEF9C"/>
        <color rgb="FF63BE7B"/>
      </colorScale>
    </cfRule>
  </conditionalFormatting>
  <conditionalFormatting sqref="K53:K67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{079E5845-6CD0-44C6-8D60-35D1134EA8E4}</x14:id>
        </ext>
      </extLst>
    </cfRule>
  </conditionalFormatting>
  <conditionalFormatting sqref="L53:R67">
    <cfRule type="colorScale" priority="10">
      <colorScale>
        <cfvo type="min"/>
        <cfvo type="max"/>
        <color rgb="FFFCFCFF"/>
        <color rgb="FF63BE7B"/>
      </colorScale>
    </cfRule>
  </conditionalFormatting>
  <conditionalFormatting sqref="X53:AD67">
    <cfRule type="colorScale" priority="9">
      <colorScale>
        <cfvo type="min"/>
        <cfvo type="max"/>
        <color rgb="FFFFEF9C"/>
        <color rgb="FF63BE7B"/>
      </colorScale>
    </cfRule>
  </conditionalFormatting>
  <conditionalFormatting sqref="AE53:AE67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{32192746-E930-4B8A-865F-301F6DD27E9A}</x14:id>
        </ext>
      </extLst>
    </cfRule>
  </conditionalFormatting>
  <conditionalFormatting sqref="AF53:AL67">
    <cfRule type="colorScale" priority="7">
      <colorScale>
        <cfvo type="min"/>
        <cfvo type="max"/>
        <color rgb="FFFCFCFF"/>
        <color rgb="FF63BE7B"/>
      </colorScale>
    </cfRule>
  </conditionalFormatting>
  <conditionalFormatting sqref="D70:J84">
    <cfRule type="colorScale" priority="6">
      <colorScale>
        <cfvo type="min"/>
        <cfvo type="max"/>
        <color rgb="FFFFEF9C"/>
        <color rgb="FF63BE7B"/>
      </colorScale>
    </cfRule>
  </conditionalFormatting>
  <conditionalFormatting sqref="K70:K84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{F099175D-FE5D-458B-AFC5-F4BEE8E45295}</x14:id>
        </ext>
      </extLst>
    </cfRule>
  </conditionalFormatting>
  <conditionalFormatting sqref="L70:R84">
    <cfRule type="colorScale" priority="4">
      <colorScale>
        <cfvo type="min"/>
        <cfvo type="max"/>
        <color rgb="FFFCFCFF"/>
        <color rgb="FF63BE7B"/>
      </colorScale>
    </cfRule>
  </conditionalFormatting>
  <conditionalFormatting sqref="X70:AD84">
    <cfRule type="colorScale" priority="3">
      <colorScale>
        <cfvo type="min"/>
        <cfvo type="max"/>
        <color rgb="FFFFEF9C"/>
        <color rgb="FF63BE7B"/>
      </colorScale>
    </cfRule>
  </conditionalFormatting>
  <conditionalFormatting sqref="AE70:AE8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{C89C4FFB-CD38-4E85-9CBF-E1263444EC28}</x14:id>
        </ext>
      </extLst>
    </cfRule>
  </conditionalFormatting>
  <conditionalFormatting sqref="AF70:AL8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7EC332-02FD-4EC0-ACE3-AB5D69AEF6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K19:K33</xm:sqref>
        </x14:conditionalFormatting>
        <x14:conditionalFormatting xmlns:xm="http://schemas.microsoft.com/office/excel/2006/main">
          <x14:cfRule type="dataBar" id="{A1211AE7-C34D-4AD0-B398-54DB9DC813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K2:K16</xm:sqref>
        </x14:conditionalFormatting>
        <x14:conditionalFormatting xmlns:xm="http://schemas.microsoft.com/office/excel/2006/main">
          <x14:cfRule type="dataBar" id="{C2E88FE8-6F04-4961-A035-A2D4358D540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AE19:AE33</xm:sqref>
        </x14:conditionalFormatting>
        <x14:conditionalFormatting xmlns:xm="http://schemas.microsoft.com/office/excel/2006/main">
          <x14:cfRule type="dataBar" id="{76132F5D-0211-448A-A5D0-4EAC4E225F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K36:K50</xm:sqref>
        </x14:conditionalFormatting>
        <x14:conditionalFormatting xmlns:xm="http://schemas.microsoft.com/office/excel/2006/main">
          <x14:cfRule type="dataBar" id="{C2079BD4-9065-4B80-B92F-4BB5257CDEE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AE36:AE50</xm:sqref>
        </x14:conditionalFormatting>
        <x14:conditionalFormatting xmlns:xm="http://schemas.microsoft.com/office/excel/2006/main">
          <x14:cfRule type="dataBar" id="{079E5845-6CD0-44C6-8D60-35D1134EA8E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K53:K67</xm:sqref>
        </x14:conditionalFormatting>
        <x14:conditionalFormatting xmlns:xm="http://schemas.microsoft.com/office/excel/2006/main">
          <x14:cfRule type="dataBar" id="{32192746-E930-4B8A-865F-301F6DD27E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AE53:AE67</xm:sqref>
        </x14:conditionalFormatting>
        <x14:conditionalFormatting xmlns:xm="http://schemas.microsoft.com/office/excel/2006/main">
          <x14:cfRule type="dataBar" id="{F099175D-FE5D-458B-AFC5-F4BEE8E452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K70:K84</xm:sqref>
        </x14:conditionalFormatting>
        <x14:conditionalFormatting xmlns:xm="http://schemas.microsoft.com/office/excel/2006/main">
          <x14:cfRule type="dataBar" id="{C89C4FFB-CD38-4E85-9CBF-E1263444EC2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AE70:AE84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E31"/>
  <sheetViews>
    <sheetView workbookViewId="0">
      <selection activeCell="AG1" sqref="AG1"/>
    </sheetView>
  </sheetViews>
  <sheetFormatPr baseColWidth="10" defaultRowHeight="15" x14ac:dyDescent="0.25"/>
  <cols>
    <col min="1" max="1" width="5.140625" bestFit="1" customWidth="1"/>
    <col min="2" max="2" width="4.85546875" bestFit="1" customWidth="1"/>
    <col min="3" max="10" width="4.5703125" bestFit="1" customWidth="1"/>
    <col min="11" max="11" width="7.28515625" bestFit="1" customWidth="1"/>
    <col min="12" max="12" width="5.5703125" bestFit="1" customWidth="1"/>
    <col min="13" max="13" width="5.7109375" bestFit="1" customWidth="1"/>
    <col min="14" max="14" width="5.28515625" bestFit="1" customWidth="1"/>
    <col min="15" max="15" width="5.5703125" bestFit="1" customWidth="1"/>
    <col min="16" max="16" width="5.42578125" bestFit="1" customWidth="1"/>
    <col min="17" max="18" width="5.7109375" bestFit="1" customWidth="1"/>
    <col min="19" max="19" width="9.140625" bestFit="1" customWidth="1"/>
    <col min="21" max="21" width="5.7109375" customWidth="1"/>
    <col min="22" max="22" width="5.140625" bestFit="1" customWidth="1"/>
    <col min="23" max="23" width="12.28515625" bestFit="1" customWidth="1"/>
    <col min="25" max="25" width="13.28515625" bestFit="1" customWidth="1"/>
    <col min="27" max="27" width="12.28515625" bestFit="1" customWidth="1"/>
    <col min="29" max="29" width="12.28515625" bestFit="1" customWidth="1"/>
    <col min="31" max="31" width="12.28515625" bestFit="1" customWidth="1"/>
  </cols>
  <sheetData>
    <row r="1" spans="1:31" x14ac:dyDescent="0.25">
      <c r="D1" s="1"/>
      <c r="E1" s="1"/>
      <c r="F1" s="1"/>
      <c r="G1" s="1"/>
      <c r="H1" s="1"/>
      <c r="I1" s="1"/>
      <c r="J1" s="1"/>
      <c r="K1" s="2">
        <f>SUM(K3:K17)</f>
        <v>437409</v>
      </c>
      <c r="L1" s="1"/>
      <c r="M1" s="1"/>
      <c r="N1" s="1"/>
      <c r="O1" s="1"/>
      <c r="P1" s="1"/>
      <c r="Q1" s="1"/>
      <c r="R1" s="1"/>
      <c r="S1" s="1"/>
      <c r="W1" s="10"/>
      <c r="X1" s="10"/>
      <c r="Y1" s="10"/>
      <c r="Z1" s="10"/>
      <c r="AA1" s="10" t="s">
        <v>38</v>
      </c>
      <c r="AB1" s="10"/>
      <c r="AC1" s="10"/>
      <c r="AD1" s="10"/>
      <c r="AE1" s="10"/>
    </row>
    <row r="2" spans="1:3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3" t="s">
        <v>119</v>
      </c>
      <c r="V2" t="s">
        <v>20</v>
      </c>
      <c r="W2" s="10"/>
      <c r="X2" s="10"/>
      <c r="Y2" s="10"/>
      <c r="Z2" s="10"/>
      <c r="AA2" s="14" t="s">
        <v>39</v>
      </c>
      <c r="AB2" s="10"/>
      <c r="AC2" s="10"/>
      <c r="AD2" s="10"/>
      <c r="AE2" s="10"/>
    </row>
    <row r="3" spans="1:31" x14ac:dyDescent="0.25">
      <c r="A3" t="s">
        <v>19</v>
      </c>
      <c r="B3" s="4" t="s">
        <v>20</v>
      </c>
      <c r="C3" s="5"/>
      <c r="D3" s="6">
        <v>16</v>
      </c>
      <c r="E3" s="7">
        <v>12</v>
      </c>
      <c r="F3" s="6">
        <v>0</v>
      </c>
      <c r="G3" s="7">
        <v>0</v>
      </c>
      <c r="H3" s="6">
        <v>2</v>
      </c>
      <c r="I3" s="7">
        <v>0</v>
      </c>
      <c r="J3" s="6">
        <v>19</v>
      </c>
      <c r="K3" s="8">
        <f>(31720+3505)*1.06</f>
        <v>37338.5</v>
      </c>
      <c r="L3" s="1">
        <v>62</v>
      </c>
      <c r="M3" s="1">
        <v>56</v>
      </c>
      <c r="N3" s="1">
        <v>0</v>
      </c>
      <c r="O3" s="9">
        <v>0</v>
      </c>
      <c r="P3" s="9">
        <v>0</v>
      </c>
      <c r="Q3" s="9">
        <v>0</v>
      </c>
      <c r="R3" s="9">
        <v>33</v>
      </c>
      <c r="S3" s="10">
        <f>SUM(L3:R3)</f>
        <v>151</v>
      </c>
      <c r="T3" s="1">
        <f>(5+5.5+2)*7</f>
        <v>87.5</v>
      </c>
      <c r="V3" t="s">
        <v>40</v>
      </c>
      <c r="W3" s="10"/>
      <c r="X3" s="10"/>
      <c r="Y3" s="10"/>
      <c r="Z3" s="10"/>
      <c r="AA3" s="15" t="s">
        <v>41</v>
      </c>
      <c r="AB3" s="10"/>
      <c r="AC3" s="10"/>
      <c r="AD3" s="10"/>
      <c r="AE3" s="10"/>
    </row>
    <row r="4" spans="1:31" x14ac:dyDescent="0.25">
      <c r="A4" t="s">
        <v>21</v>
      </c>
      <c r="B4" s="4" t="s">
        <v>22</v>
      </c>
      <c r="C4" s="11" t="s">
        <v>50</v>
      </c>
      <c r="D4" s="12">
        <v>0</v>
      </c>
      <c r="E4" s="13">
        <v>15</v>
      </c>
      <c r="F4" s="12">
        <v>10</v>
      </c>
      <c r="G4" s="13">
        <v>2</v>
      </c>
      <c r="H4" s="12">
        <v>2</v>
      </c>
      <c r="I4" s="13">
        <v>10</v>
      </c>
      <c r="J4" s="12">
        <v>19</v>
      </c>
      <c r="K4" s="8">
        <f>(26960+1315+1455)*1.06</f>
        <v>31513.800000000003</v>
      </c>
      <c r="L4" s="1">
        <v>0</v>
      </c>
      <c r="M4" s="1">
        <v>95</v>
      </c>
      <c r="N4" s="1">
        <v>33</v>
      </c>
      <c r="O4" s="1">
        <v>0</v>
      </c>
      <c r="P4" s="1">
        <v>0</v>
      </c>
      <c r="Q4" s="1">
        <v>33</v>
      </c>
      <c r="R4" s="1">
        <v>33</v>
      </c>
      <c r="S4" s="10">
        <f t="shared" ref="S4:S8" si="0">SUM(L4:R4)</f>
        <v>194</v>
      </c>
      <c r="T4" s="1">
        <f>(9+3.5+2+4.5)*7</f>
        <v>133</v>
      </c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5">
      <c r="A5" t="s">
        <v>23</v>
      </c>
      <c r="B5" s="4" t="s">
        <v>22</v>
      </c>
      <c r="C5" s="11" t="s">
        <v>50</v>
      </c>
      <c r="D5" s="12">
        <v>0</v>
      </c>
      <c r="E5" s="13">
        <v>15</v>
      </c>
      <c r="F5" s="12">
        <v>10</v>
      </c>
      <c r="G5" s="13">
        <v>2</v>
      </c>
      <c r="H5" s="12">
        <v>2</v>
      </c>
      <c r="I5" s="13">
        <v>10</v>
      </c>
      <c r="J5" s="12">
        <v>19</v>
      </c>
      <c r="K5" s="8">
        <f t="shared" ref="K5:K6" si="1">(26960+1315+1455)*1.06</f>
        <v>31513.800000000003</v>
      </c>
      <c r="L5" s="1">
        <v>0</v>
      </c>
      <c r="M5" s="1">
        <v>95</v>
      </c>
      <c r="N5" s="1">
        <v>33</v>
      </c>
      <c r="O5" s="1">
        <v>0</v>
      </c>
      <c r="P5" s="1">
        <v>0</v>
      </c>
      <c r="Q5" s="1">
        <v>33</v>
      </c>
      <c r="R5" s="1">
        <v>33</v>
      </c>
      <c r="S5" s="10">
        <f>SUM(L5:R5)</f>
        <v>194</v>
      </c>
      <c r="T5" s="1">
        <f t="shared" ref="T5:T6" si="2">(9+3.5+2+4.5)*7</f>
        <v>133</v>
      </c>
      <c r="U5" s="1"/>
      <c r="W5" s="10" t="s">
        <v>43</v>
      </c>
      <c r="X5" s="10"/>
      <c r="Y5" s="10" t="s">
        <v>44</v>
      </c>
      <c r="Z5" s="10"/>
      <c r="AA5" s="10" t="s">
        <v>45</v>
      </c>
      <c r="AB5" s="10"/>
      <c r="AC5" s="10" t="s">
        <v>44</v>
      </c>
      <c r="AD5" s="10"/>
      <c r="AE5" s="10" t="s">
        <v>43</v>
      </c>
    </row>
    <row r="6" spans="1:31" x14ac:dyDescent="0.25">
      <c r="A6" t="s">
        <v>24</v>
      </c>
      <c r="B6" s="4" t="s">
        <v>22</v>
      </c>
      <c r="C6" s="11" t="s">
        <v>50</v>
      </c>
      <c r="D6" s="12">
        <v>0</v>
      </c>
      <c r="E6" s="13">
        <v>15</v>
      </c>
      <c r="F6" s="12">
        <v>10</v>
      </c>
      <c r="G6" s="13">
        <v>2</v>
      </c>
      <c r="H6" s="12">
        <v>2</v>
      </c>
      <c r="I6" s="13">
        <v>10</v>
      </c>
      <c r="J6" s="12">
        <v>19</v>
      </c>
      <c r="K6" s="8">
        <f t="shared" si="1"/>
        <v>31513.800000000003</v>
      </c>
      <c r="L6" s="1">
        <v>0</v>
      </c>
      <c r="M6" s="1">
        <v>95</v>
      </c>
      <c r="N6" s="1">
        <v>33</v>
      </c>
      <c r="O6" s="1">
        <v>0</v>
      </c>
      <c r="P6" s="1">
        <v>0</v>
      </c>
      <c r="Q6" s="1">
        <v>33</v>
      </c>
      <c r="R6" s="1">
        <v>33</v>
      </c>
      <c r="S6" s="10">
        <f>SUM(L6:R6)</f>
        <v>194</v>
      </c>
      <c r="T6" s="1">
        <f t="shared" si="2"/>
        <v>133</v>
      </c>
      <c r="U6" s="1"/>
      <c r="V6" t="s">
        <v>40</v>
      </c>
      <c r="W6" s="17" t="s">
        <v>46</v>
      </c>
      <c r="X6" s="1"/>
      <c r="Y6" s="18" t="s">
        <v>47</v>
      </c>
      <c r="Z6" s="1"/>
      <c r="AA6" s="18" t="s">
        <v>48</v>
      </c>
      <c r="AB6" s="1"/>
      <c r="AC6" s="18" t="s">
        <v>47</v>
      </c>
      <c r="AD6" s="1"/>
      <c r="AE6" s="17" t="s">
        <v>46</v>
      </c>
    </row>
    <row r="7" spans="1:31" x14ac:dyDescent="0.25">
      <c r="A7" t="s">
        <v>25</v>
      </c>
      <c r="B7" s="4" t="s">
        <v>75</v>
      </c>
      <c r="C7" s="11" t="s">
        <v>42</v>
      </c>
      <c r="D7" s="12">
        <v>0</v>
      </c>
      <c r="E7" s="13">
        <v>14</v>
      </c>
      <c r="F7" s="12">
        <v>12</v>
      </c>
      <c r="G7" s="13">
        <v>0</v>
      </c>
      <c r="H7" s="12">
        <v>9</v>
      </c>
      <c r="I7" s="13">
        <v>10</v>
      </c>
      <c r="J7" s="12">
        <v>19</v>
      </c>
      <c r="K7" s="8">
        <f>(18370+4335+1315+145)*1.06</f>
        <v>25614.9</v>
      </c>
      <c r="L7" s="1">
        <v>0</v>
      </c>
      <c r="M7" s="1">
        <v>79</v>
      </c>
      <c r="N7" s="1">
        <v>48</v>
      </c>
      <c r="O7" s="1">
        <v>0</v>
      </c>
      <c r="P7" s="1">
        <v>23</v>
      </c>
      <c r="Q7" s="1">
        <v>33</v>
      </c>
      <c r="R7" s="1">
        <v>33</v>
      </c>
      <c r="S7" s="10">
        <f t="shared" si="0"/>
        <v>216</v>
      </c>
      <c r="T7" s="1">
        <f>(8+5+3+2+3.5)*7</f>
        <v>150.5</v>
      </c>
      <c r="U7" s="1"/>
      <c r="V7" t="s">
        <v>49</v>
      </c>
      <c r="W7" s="19">
        <v>0.16700000000000001</v>
      </c>
      <c r="X7" s="1"/>
      <c r="Y7" s="19">
        <v>0.16500000000000001</v>
      </c>
      <c r="Z7" s="1"/>
      <c r="AA7" s="20">
        <v>0.23599999999999999</v>
      </c>
      <c r="AB7" s="1"/>
      <c r="AC7" s="19">
        <v>0.16500000000000001</v>
      </c>
      <c r="AD7" s="1"/>
      <c r="AE7" s="19">
        <v>0.16700000000000001</v>
      </c>
    </row>
    <row r="8" spans="1:31" x14ac:dyDescent="0.25">
      <c r="A8" t="s">
        <v>26</v>
      </c>
      <c r="B8" s="4" t="s">
        <v>75</v>
      </c>
      <c r="C8" s="11" t="s">
        <v>42</v>
      </c>
      <c r="D8" s="12">
        <v>0</v>
      </c>
      <c r="E8" s="13">
        <v>14</v>
      </c>
      <c r="F8" s="12">
        <v>12</v>
      </c>
      <c r="G8" s="13">
        <v>0</v>
      </c>
      <c r="H8" s="12">
        <v>9</v>
      </c>
      <c r="I8" s="13">
        <v>10</v>
      </c>
      <c r="J8" s="12">
        <v>19</v>
      </c>
      <c r="K8" s="8">
        <f t="shared" ref="K8:K9" si="3">(18370+4335+1315+145)*1.06</f>
        <v>25614.9</v>
      </c>
      <c r="L8" s="1">
        <v>0</v>
      </c>
      <c r="M8" s="1">
        <v>79</v>
      </c>
      <c r="N8" s="1">
        <v>48</v>
      </c>
      <c r="O8" s="1">
        <v>0</v>
      </c>
      <c r="P8" s="1">
        <v>23</v>
      </c>
      <c r="Q8" s="1">
        <v>33</v>
      </c>
      <c r="R8" s="1">
        <v>33</v>
      </c>
      <c r="S8" s="10">
        <f t="shared" si="0"/>
        <v>216</v>
      </c>
      <c r="T8" s="1">
        <f t="shared" ref="T8:T9" si="4">(8+5+3+2+3.5)*7</f>
        <v>150.5</v>
      </c>
      <c r="U8" s="1"/>
      <c r="V8" t="s">
        <v>22</v>
      </c>
      <c r="W8" s="17">
        <v>0.58799999999999997</v>
      </c>
      <c r="X8" s="1"/>
      <c r="Y8" s="21">
        <v>0.28599999999999998</v>
      </c>
      <c r="Z8" s="1"/>
      <c r="AA8" s="22">
        <v>0</v>
      </c>
      <c r="AB8" s="1"/>
      <c r="AC8" s="21">
        <v>0.28599999999999998</v>
      </c>
      <c r="AD8" s="1"/>
      <c r="AE8" s="17">
        <v>0.58799999999999997</v>
      </c>
    </row>
    <row r="9" spans="1:31" x14ac:dyDescent="0.25">
      <c r="A9" t="s">
        <v>27</v>
      </c>
      <c r="B9" s="4" t="s">
        <v>75</v>
      </c>
      <c r="C9" s="11" t="s">
        <v>42</v>
      </c>
      <c r="D9" s="12">
        <v>0</v>
      </c>
      <c r="E9" s="13">
        <v>14</v>
      </c>
      <c r="F9" s="12">
        <v>12</v>
      </c>
      <c r="G9" s="13">
        <v>0</v>
      </c>
      <c r="H9" s="12">
        <v>9</v>
      </c>
      <c r="I9" s="13">
        <v>10</v>
      </c>
      <c r="J9" s="12">
        <v>19</v>
      </c>
      <c r="K9" s="8">
        <f t="shared" si="3"/>
        <v>25614.9</v>
      </c>
      <c r="L9" s="1">
        <v>0</v>
      </c>
      <c r="M9" s="1">
        <v>79</v>
      </c>
      <c r="N9" s="1">
        <v>48</v>
      </c>
      <c r="O9" s="1">
        <v>0</v>
      </c>
      <c r="P9" s="1">
        <v>23</v>
      </c>
      <c r="Q9" s="1">
        <v>33</v>
      </c>
      <c r="R9" s="1">
        <v>33</v>
      </c>
      <c r="S9" s="10">
        <f t="shared" ref="S9" si="5">SUM(L9:R9)</f>
        <v>216</v>
      </c>
      <c r="T9" s="1">
        <f t="shared" si="4"/>
        <v>150.5</v>
      </c>
      <c r="U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t="s">
        <v>28</v>
      </c>
      <c r="B10" s="4" t="s">
        <v>30</v>
      </c>
      <c r="C10" s="11" t="s">
        <v>50</v>
      </c>
      <c r="D10" s="12">
        <v>0</v>
      </c>
      <c r="E10" s="13">
        <v>12</v>
      </c>
      <c r="F10" s="12">
        <v>14</v>
      </c>
      <c r="G10" s="13">
        <v>2</v>
      </c>
      <c r="H10" s="12">
        <v>2</v>
      </c>
      <c r="I10" s="13">
        <v>10</v>
      </c>
      <c r="J10" s="12">
        <v>19</v>
      </c>
      <c r="K10" s="8">
        <f>(22460+3505+1315)*1.06</f>
        <v>28916.800000000003</v>
      </c>
      <c r="L10" s="1">
        <v>0</v>
      </c>
      <c r="M10" s="1">
        <v>56</v>
      </c>
      <c r="N10" s="1">
        <v>68</v>
      </c>
      <c r="O10" s="1">
        <v>0</v>
      </c>
      <c r="P10" s="1">
        <v>0</v>
      </c>
      <c r="Q10" s="1">
        <v>33</v>
      </c>
      <c r="R10" s="1">
        <v>33</v>
      </c>
      <c r="S10" s="10">
        <f t="shared" ref="S10:S14" si="6">SUM(L10:R10)</f>
        <v>190</v>
      </c>
      <c r="T10" s="1">
        <f>(5.5+6.5+3.5+2)*7</f>
        <v>122.5</v>
      </c>
      <c r="U10" s="1"/>
      <c r="W10" s="10" t="s">
        <v>51</v>
      </c>
      <c r="X10" s="10"/>
      <c r="Y10" s="10" t="s">
        <v>67</v>
      </c>
      <c r="Z10" s="1"/>
      <c r="AA10" s="10" t="s">
        <v>52</v>
      </c>
      <c r="AB10" s="1"/>
      <c r="AC10" s="10" t="s">
        <v>53</v>
      </c>
      <c r="AD10" s="10"/>
      <c r="AE10" s="10" t="s">
        <v>51</v>
      </c>
    </row>
    <row r="11" spans="1:31" x14ac:dyDescent="0.25">
      <c r="A11" t="s">
        <v>29</v>
      </c>
      <c r="B11" s="4" t="s">
        <v>30</v>
      </c>
      <c r="C11" s="11" t="s">
        <v>50</v>
      </c>
      <c r="D11" s="12">
        <v>0</v>
      </c>
      <c r="E11" s="13">
        <v>12</v>
      </c>
      <c r="F11" s="12">
        <v>14</v>
      </c>
      <c r="G11" s="13">
        <v>2</v>
      </c>
      <c r="H11" s="12">
        <v>2</v>
      </c>
      <c r="I11" s="13">
        <v>10</v>
      </c>
      <c r="J11" s="12">
        <v>19</v>
      </c>
      <c r="K11" s="8">
        <f t="shared" ref="K11:K13" si="7">(22460+3505+1315)*1.06</f>
        <v>28916.800000000003</v>
      </c>
      <c r="L11" s="1">
        <v>0</v>
      </c>
      <c r="M11" s="1">
        <v>56</v>
      </c>
      <c r="N11" s="1">
        <v>68</v>
      </c>
      <c r="O11" s="1">
        <v>0</v>
      </c>
      <c r="P11" s="1">
        <v>0</v>
      </c>
      <c r="Q11" s="1">
        <v>33</v>
      </c>
      <c r="R11" s="1">
        <v>33</v>
      </c>
      <c r="S11" s="10">
        <f t="shared" si="6"/>
        <v>190</v>
      </c>
      <c r="T11" s="1">
        <f>(5.5+6.5+3.5+2)*7</f>
        <v>122.5</v>
      </c>
      <c r="U11" s="1"/>
      <c r="V11" t="s">
        <v>40</v>
      </c>
      <c r="W11" s="23" t="s">
        <v>54</v>
      </c>
      <c r="X11" s="1"/>
      <c r="Y11" s="23" t="s">
        <v>68</v>
      </c>
      <c r="Z11" s="1"/>
      <c r="AA11" s="23" t="s">
        <v>77</v>
      </c>
      <c r="AB11" s="1"/>
      <c r="AC11" s="23" t="s">
        <v>56</v>
      </c>
      <c r="AD11" s="1"/>
      <c r="AE11" s="23" t="s">
        <v>70</v>
      </c>
    </row>
    <row r="12" spans="1:31" x14ac:dyDescent="0.25">
      <c r="A12" t="s">
        <v>72</v>
      </c>
      <c r="B12" s="4" t="s">
        <v>30</v>
      </c>
      <c r="C12" s="11" t="s">
        <v>74</v>
      </c>
      <c r="D12" s="12">
        <v>0</v>
      </c>
      <c r="E12" s="13">
        <v>12</v>
      </c>
      <c r="F12" s="12">
        <v>14</v>
      </c>
      <c r="G12" s="13">
        <v>2</v>
      </c>
      <c r="H12" s="12">
        <v>2</v>
      </c>
      <c r="I12" s="13">
        <v>10</v>
      </c>
      <c r="J12" s="12">
        <v>19</v>
      </c>
      <c r="K12" s="8">
        <f t="shared" si="7"/>
        <v>28916.800000000003</v>
      </c>
      <c r="L12" s="1">
        <v>0</v>
      </c>
      <c r="M12" s="1">
        <v>56</v>
      </c>
      <c r="N12" s="1">
        <v>68</v>
      </c>
      <c r="O12" s="1">
        <v>0</v>
      </c>
      <c r="P12" s="1">
        <v>0</v>
      </c>
      <c r="Q12" s="1">
        <v>33</v>
      </c>
      <c r="R12" s="1">
        <v>33</v>
      </c>
      <c r="S12" s="10">
        <f t="shared" si="6"/>
        <v>190</v>
      </c>
      <c r="T12" s="1">
        <f>(5.5+6.5+3.5+2)*7</f>
        <v>122.5</v>
      </c>
      <c r="U12" s="1"/>
      <c r="V12" t="s">
        <v>49</v>
      </c>
      <c r="W12" s="24">
        <v>0.45500000000000002</v>
      </c>
      <c r="X12" s="1"/>
      <c r="Y12" s="17">
        <v>0.94399999999999995</v>
      </c>
      <c r="Z12" s="1"/>
      <c r="AA12" s="17">
        <v>1</v>
      </c>
      <c r="AB12" s="1"/>
      <c r="AC12" s="17">
        <v>0.88100000000000001</v>
      </c>
      <c r="AD12" s="1"/>
      <c r="AE12" s="24">
        <v>0.63100000000000001</v>
      </c>
    </row>
    <row r="13" spans="1:31" x14ac:dyDescent="0.25">
      <c r="A13" t="s">
        <v>31</v>
      </c>
      <c r="B13" s="4" t="s">
        <v>30</v>
      </c>
      <c r="C13" s="11" t="s">
        <v>50</v>
      </c>
      <c r="D13" s="12">
        <v>0</v>
      </c>
      <c r="E13" s="13">
        <v>12</v>
      </c>
      <c r="F13" s="12">
        <v>14</v>
      </c>
      <c r="G13" s="13">
        <v>2</v>
      </c>
      <c r="H13" s="12">
        <v>2</v>
      </c>
      <c r="I13" s="13">
        <v>10</v>
      </c>
      <c r="J13" s="12">
        <v>19</v>
      </c>
      <c r="K13" s="8">
        <f t="shared" si="7"/>
        <v>28916.800000000003</v>
      </c>
      <c r="L13" s="1">
        <v>0</v>
      </c>
      <c r="M13" s="1">
        <v>56</v>
      </c>
      <c r="N13" s="1">
        <v>68</v>
      </c>
      <c r="O13" s="1">
        <v>0</v>
      </c>
      <c r="P13" s="1">
        <v>0</v>
      </c>
      <c r="Q13" s="1">
        <v>33</v>
      </c>
      <c r="R13" s="1">
        <v>33</v>
      </c>
      <c r="S13" s="10">
        <f t="shared" si="6"/>
        <v>190</v>
      </c>
      <c r="T13" s="1">
        <f>(5.5+6.5+3.5+2)*7</f>
        <v>122.5</v>
      </c>
      <c r="U13" s="1"/>
      <c r="V13" t="s">
        <v>22</v>
      </c>
      <c r="W13" s="17">
        <v>0.86399999999999999</v>
      </c>
      <c r="X13" s="1"/>
      <c r="Y13" s="19">
        <v>0</v>
      </c>
      <c r="Z13" s="1"/>
      <c r="AA13" s="19">
        <v>0</v>
      </c>
      <c r="AB13" s="1"/>
      <c r="AC13" s="24">
        <v>0.57399999999999995</v>
      </c>
      <c r="AD13" s="1"/>
      <c r="AE13" s="17">
        <v>0.70199999999999996</v>
      </c>
    </row>
    <row r="14" spans="1:31" x14ac:dyDescent="0.25">
      <c r="A14" t="s">
        <v>33</v>
      </c>
      <c r="B14" s="4" t="s">
        <v>32</v>
      </c>
      <c r="C14" s="11" t="s">
        <v>42</v>
      </c>
      <c r="D14" s="12">
        <v>0</v>
      </c>
      <c r="E14" s="13">
        <v>10</v>
      </c>
      <c r="F14" s="12">
        <v>14</v>
      </c>
      <c r="G14" s="13">
        <v>9</v>
      </c>
      <c r="H14" s="12">
        <v>9</v>
      </c>
      <c r="I14" s="13">
        <v>10</v>
      </c>
      <c r="J14" s="12">
        <v>19</v>
      </c>
      <c r="K14" s="8">
        <f>(22460+3505+145+125+1315)*1.06</f>
        <v>29203</v>
      </c>
      <c r="L14" s="1">
        <v>0</v>
      </c>
      <c r="M14" s="1">
        <v>37</v>
      </c>
      <c r="N14" s="1">
        <v>68</v>
      </c>
      <c r="O14" s="1">
        <v>18</v>
      </c>
      <c r="P14" s="1">
        <v>23</v>
      </c>
      <c r="Q14" s="1">
        <v>33</v>
      </c>
      <c r="R14" s="1">
        <v>33</v>
      </c>
      <c r="S14" s="10">
        <f t="shared" si="6"/>
        <v>212</v>
      </c>
      <c r="T14" s="1">
        <f>(4.5+6.5+3+3.5+3.5+2)*7</f>
        <v>161</v>
      </c>
      <c r="U14" s="1"/>
      <c r="V14" t="s">
        <v>57</v>
      </c>
      <c r="W14" s="22">
        <v>0</v>
      </c>
      <c r="X14" s="1"/>
      <c r="Y14" s="25">
        <v>0.12</v>
      </c>
      <c r="Z14" s="1"/>
      <c r="AA14" s="25">
        <v>0.21</v>
      </c>
      <c r="AB14" s="1"/>
      <c r="AC14" s="22">
        <v>0</v>
      </c>
      <c r="AD14" s="1"/>
      <c r="AE14" s="22">
        <v>0</v>
      </c>
    </row>
    <row r="15" spans="1:31" x14ac:dyDescent="0.25">
      <c r="A15" t="s">
        <v>34</v>
      </c>
      <c r="B15" s="4" t="s">
        <v>32</v>
      </c>
      <c r="C15" s="11" t="s">
        <v>42</v>
      </c>
      <c r="D15" s="12">
        <v>0</v>
      </c>
      <c r="E15" s="13">
        <v>10</v>
      </c>
      <c r="F15" s="12">
        <v>14</v>
      </c>
      <c r="G15" s="13">
        <v>9</v>
      </c>
      <c r="H15" s="12">
        <v>9</v>
      </c>
      <c r="I15" s="13">
        <v>10</v>
      </c>
      <c r="J15" s="12">
        <v>19</v>
      </c>
      <c r="K15" s="8">
        <f>(22460+3505+145+125+1315)*1.06</f>
        <v>29203</v>
      </c>
      <c r="L15" s="1">
        <v>0</v>
      </c>
      <c r="M15" s="1">
        <v>37</v>
      </c>
      <c r="N15" s="1">
        <v>68</v>
      </c>
      <c r="O15" s="1">
        <v>18</v>
      </c>
      <c r="P15" s="1">
        <v>23</v>
      </c>
      <c r="Q15" s="1">
        <v>33</v>
      </c>
      <c r="R15" s="1">
        <v>33</v>
      </c>
      <c r="S15" s="10">
        <f>SUM(L15:R15)</f>
        <v>212</v>
      </c>
      <c r="T15" s="1">
        <f>(4.5+6.5+3+3.5+3.5+2)*7</f>
        <v>161</v>
      </c>
      <c r="U15" s="1"/>
      <c r="V15" t="s">
        <v>58</v>
      </c>
      <c r="W15" s="20">
        <v>0.24399999999999999</v>
      </c>
      <c r="X15" s="1"/>
      <c r="Y15" s="20" t="s">
        <v>69</v>
      </c>
      <c r="Z15" s="1"/>
      <c r="AA15" s="20" t="s">
        <v>59</v>
      </c>
      <c r="AB15" s="1"/>
      <c r="AC15" s="20">
        <v>0.315</v>
      </c>
      <c r="AD15" s="1"/>
      <c r="AE15" s="20" t="s">
        <v>71</v>
      </c>
    </row>
    <row r="16" spans="1:31" x14ac:dyDescent="0.25">
      <c r="A16" t="s">
        <v>35</v>
      </c>
      <c r="B16" s="4" t="s">
        <v>32</v>
      </c>
      <c r="C16" s="11" t="s">
        <v>73</v>
      </c>
      <c r="D16" s="12">
        <v>0</v>
      </c>
      <c r="E16" s="13">
        <v>10</v>
      </c>
      <c r="F16" s="12">
        <v>14</v>
      </c>
      <c r="G16" s="13">
        <v>9</v>
      </c>
      <c r="H16" s="12">
        <v>9</v>
      </c>
      <c r="I16" s="13">
        <v>10</v>
      </c>
      <c r="J16" s="12">
        <v>19</v>
      </c>
      <c r="K16" s="8">
        <f>(22460+3505+145+125+1315)*1.06</f>
        <v>29203</v>
      </c>
      <c r="L16" s="1">
        <v>0</v>
      </c>
      <c r="M16" s="1">
        <v>37</v>
      </c>
      <c r="N16" s="1">
        <v>68</v>
      </c>
      <c r="O16" s="1">
        <v>18</v>
      </c>
      <c r="P16" s="1">
        <v>23</v>
      </c>
      <c r="Q16" s="1">
        <v>33</v>
      </c>
      <c r="R16" s="1">
        <v>33</v>
      </c>
      <c r="S16" s="10">
        <f>SUM(L16:R16)</f>
        <v>212</v>
      </c>
      <c r="T16" s="1">
        <f>(4.5+6.5+3+3.5+3.5+2)*7</f>
        <v>161</v>
      </c>
      <c r="U16" s="1"/>
      <c r="W16" s="1"/>
      <c r="X16" s="1"/>
      <c r="Y16" s="1"/>
      <c r="Z16" s="1"/>
      <c r="AA16" s="1"/>
      <c r="AB16" s="1"/>
      <c r="AC16" s="16"/>
      <c r="AD16" s="1"/>
      <c r="AE16" s="16"/>
    </row>
    <row r="17" spans="1:31" x14ac:dyDescent="0.25">
      <c r="A17" t="s">
        <v>37</v>
      </c>
      <c r="B17" s="4" t="s">
        <v>76</v>
      </c>
      <c r="C17" s="11" t="s">
        <v>42</v>
      </c>
      <c r="D17" s="12">
        <v>0</v>
      </c>
      <c r="E17" s="13">
        <v>2</v>
      </c>
      <c r="F17" s="12">
        <v>14</v>
      </c>
      <c r="G17" s="13">
        <v>2</v>
      </c>
      <c r="H17" s="12">
        <v>10</v>
      </c>
      <c r="I17" s="13">
        <v>10</v>
      </c>
      <c r="J17" s="12">
        <v>19</v>
      </c>
      <c r="K17" s="8">
        <f>(22460+1315+195)*1.06</f>
        <v>25408.2</v>
      </c>
      <c r="L17" s="1">
        <v>0</v>
      </c>
      <c r="M17" s="1">
        <v>0</v>
      </c>
      <c r="N17" s="1">
        <v>68</v>
      </c>
      <c r="O17" s="1">
        <v>0</v>
      </c>
      <c r="P17" s="1">
        <v>29</v>
      </c>
      <c r="Q17" s="1">
        <v>33</v>
      </c>
      <c r="R17" s="1">
        <v>33</v>
      </c>
      <c r="S17" s="10">
        <f t="shared" ref="S17:S18" si="8">SUM(L17:R17)</f>
        <v>163</v>
      </c>
      <c r="T17" s="1">
        <f>(6.5+3.5+3.5+2)*7</f>
        <v>108.5</v>
      </c>
      <c r="U17" s="1"/>
      <c r="W17" s="1"/>
      <c r="X17" s="1"/>
      <c r="Y17" s="10" t="s">
        <v>62</v>
      </c>
      <c r="Z17" s="1"/>
      <c r="AA17" s="10" t="s">
        <v>36</v>
      </c>
      <c r="AB17" s="10"/>
      <c r="AC17" s="10" t="s">
        <v>63</v>
      </c>
      <c r="AD17" s="1"/>
      <c r="AE17" s="1"/>
    </row>
    <row r="18" spans="1:31" x14ac:dyDescent="0.25">
      <c r="A18" t="s">
        <v>121</v>
      </c>
      <c r="B18" s="4" t="s">
        <v>76</v>
      </c>
      <c r="C18" s="11" t="s">
        <v>73</v>
      </c>
      <c r="D18" s="12">
        <v>0</v>
      </c>
      <c r="E18" s="13">
        <v>2</v>
      </c>
      <c r="F18" s="12">
        <v>14</v>
      </c>
      <c r="G18" s="13">
        <v>2</v>
      </c>
      <c r="H18" s="12">
        <v>10</v>
      </c>
      <c r="I18" s="13">
        <v>10</v>
      </c>
      <c r="J18" s="12">
        <v>19</v>
      </c>
      <c r="K18" s="8">
        <f>(22460+1315+195)*1.06</f>
        <v>25408.2</v>
      </c>
      <c r="L18" s="1">
        <v>0</v>
      </c>
      <c r="M18" s="1">
        <v>0</v>
      </c>
      <c r="N18" s="1">
        <v>68</v>
      </c>
      <c r="O18" s="1">
        <v>0</v>
      </c>
      <c r="P18" s="1">
        <v>29</v>
      </c>
      <c r="Q18" s="1">
        <v>33</v>
      </c>
      <c r="R18" s="1">
        <v>33</v>
      </c>
      <c r="S18" s="10">
        <f t="shared" si="8"/>
        <v>163</v>
      </c>
      <c r="T18" s="1">
        <f>(6.5+3.5+3.5+2)*7</f>
        <v>108.5</v>
      </c>
      <c r="V18" t="s">
        <v>49</v>
      </c>
      <c r="W18" s="1"/>
      <c r="X18" s="1"/>
      <c r="Y18" s="20">
        <v>0.40600000000000003</v>
      </c>
      <c r="Z18" s="1"/>
      <c r="AA18" s="20">
        <v>0.25</v>
      </c>
      <c r="AB18" s="1"/>
      <c r="AC18" s="20">
        <v>0.40600000000000003</v>
      </c>
      <c r="AD18" s="1"/>
      <c r="AE18" s="1"/>
    </row>
    <row r="19" spans="1:31" x14ac:dyDescent="0.25">
      <c r="V19" t="s">
        <v>22</v>
      </c>
      <c r="W19" s="1"/>
      <c r="X19" s="1"/>
      <c r="Y19" s="20">
        <v>0.14399999999999999</v>
      </c>
      <c r="Z19" s="1"/>
      <c r="AA19" s="20">
        <v>0.221</v>
      </c>
      <c r="AB19" s="1"/>
      <c r="AC19" s="20">
        <v>0.14399999999999999</v>
      </c>
      <c r="AD19" s="1"/>
      <c r="AE19" s="1"/>
    </row>
    <row r="20" spans="1:31" x14ac:dyDescent="0.25">
      <c r="D20" s="1"/>
      <c r="E20" s="1"/>
      <c r="F20" s="1"/>
      <c r="G20" s="1"/>
      <c r="H20" s="1"/>
      <c r="I20" s="1"/>
      <c r="J20" s="1"/>
      <c r="K20" s="2">
        <f>SUM(K22:K31)</f>
        <v>296752.3</v>
      </c>
      <c r="L20" s="1"/>
      <c r="M20" s="1"/>
      <c r="N20" s="1"/>
      <c r="O20" s="1"/>
      <c r="P20" s="1"/>
      <c r="Q20" s="1"/>
      <c r="R20" s="1"/>
      <c r="S20" s="1"/>
      <c r="V20" t="s">
        <v>57</v>
      </c>
      <c r="W20" s="1"/>
      <c r="X20" s="1"/>
      <c r="Y20" s="17" t="s">
        <v>64</v>
      </c>
      <c r="Z20" s="1"/>
      <c r="AA20" s="17" t="s">
        <v>60</v>
      </c>
      <c r="AB20" s="1"/>
      <c r="AC20" s="17" t="s">
        <v>64</v>
      </c>
      <c r="AD20" s="1"/>
      <c r="AE20" s="1"/>
    </row>
    <row r="21" spans="1:31" x14ac:dyDescent="0.25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  <c r="L21" s="3" t="s">
        <v>11</v>
      </c>
      <c r="M21" s="3" t="s">
        <v>12</v>
      </c>
      <c r="N21" s="3" t="s">
        <v>13</v>
      </c>
      <c r="O21" s="3" t="s">
        <v>14</v>
      </c>
      <c r="P21" s="3" t="s">
        <v>15</v>
      </c>
      <c r="Q21" s="3" t="s">
        <v>16</v>
      </c>
      <c r="R21" s="3" t="s">
        <v>17</v>
      </c>
      <c r="S21" s="3" t="s">
        <v>18</v>
      </c>
      <c r="T21" s="33" t="s">
        <v>119</v>
      </c>
      <c r="V21" t="s">
        <v>58</v>
      </c>
      <c r="W21" s="1"/>
      <c r="X21" s="1"/>
      <c r="Y21" s="25" t="s">
        <v>65</v>
      </c>
      <c r="Z21" s="1"/>
      <c r="AA21" s="25" t="s">
        <v>61</v>
      </c>
      <c r="AB21" s="1"/>
      <c r="AC21" s="25" t="s">
        <v>66</v>
      </c>
      <c r="AD21" s="1"/>
      <c r="AE21" s="1"/>
    </row>
    <row r="22" spans="1:31" x14ac:dyDescent="0.25">
      <c r="A22" t="s">
        <v>19</v>
      </c>
      <c r="B22" s="4" t="s">
        <v>20</v>
      </c>
      <c r="C22" s="5"/>
      <c r="D22" s="6">
        <v>16</v>
      </c>
      <c r="E22" s="7">
        <v>12</v>
      </c>
      <c r="F22" s="6">
        <v>0</v>
      </c>
      <c r="G22" s="7">
        <v>0</v>
      </c>
      <c r="H22" s="6">
        <v>2</v>
      </c>
      <c r="I22" s="7">
        <v>0</v>
      </c>
      <c r="J22" s="6">
        <v>19</v>
      </c>
      <c r="K22" s="8">
        <f>(31720+3505)*1.06</f>
        <v>37338.5</v>
      </c>
      <c r="L22" s="1">
        <v>62</v>
      </c>
      <c r="M22" s="1">
        <v>56</v>
      </c>
      <c r="N22" s="1">
        <v>0</v>
      </c>
      <c r="O22" s="9">
        <v>0</v>
      </c>
      <c r="P22" s="9">
        <v>0</v>
      </c>
      <c r="Q22" s="9">
        <v>0</v>
      </c>
      <c r="R22" s="9">
        <v>33</v>
      </c>
      <c r="S22" s="10">
        <f>SUM(L22:R22)</f>
        <v>151</v>
      </c>
      <c r="T22" s="1">
        <f>(5+5.5+2)*7</f>
        <v>87.5</v>
      </c>
    </row>
    <row r="23" spans="1:31" x14ac:dyDescent="0.25">
      <c r="A23" t="s">
        <v>21</v>
      </c>
      <c r="B23" s="4" t="s">
        <v>22</v>
      </c>
      <c r="C23" s="11" t="s">
        <v>50</v>
      </c>
      <c r="D23" s="12">
        <v>0</v>
      </c>
      <c r="E23" s="13">
        <v>15</v>
      </c>
      <c r="F23" s="12">
        <v>10</v>
      </c>
      <c r="G23" s="13">
        <v>2</v>
      </c>
      <c r="H23" s="12">
        <v>2</v>
      </c>
      <c r="I23" s="13">
        <v>10</v>
      </c>
      <c r="J23" s="12">
        <v>19</v>
      </c>
      <c r="K23" s="8">
        <f>(26960+1315+1455)*1.06</f>
        <v>31513.800000000003</v>
      </c>
      <c r="L23" s="1">
        <v>0</v>
      </c>
      <c r="M23" s="1">
        <v>95</v>
      </c>
      <c r="N23" s="1">
        <v>33</v>
      </c>
      <c r="O23" s="1">
        <v>0</v>
      </c>
      <c r="P23" s="1">
        <v>0</v>
      </c>
      <c r="Q23" s="1">
        <v>33</v>
      </c>
      <c r="R23" s="1">
        <v>33</v>
      </c>
      <c r="S23" s="10">
        <f t="shared" ref="S23" si="9">SUM(L23:R23)</f>
        <v>194</v>
      </c>
      <c r="T23" s="1">
        <f>(9+3.5+2+4.5)*7</f>
        <v>133</v>
      </c>
    </row>
    <row r="24" spans="1:31" x14ac:dyDescent="0.25">
      <c r="A24" t="s">
        <v>23</v>
      </c>
      <c r="B24" s="4" t="s">
        <v>22</v>
      </c>
      <c r="C24" s="11" t="s">
        <v>50</v>
      </c>
      <c r="D24" s="12">
        <v>0</v>
      </c>
      <c r="E24" s="13">
        <v>15</v>
      </c>
      <c r="F24" s="12">
        <v>10</v>
      </c>
      <c r="G24" s="13">
        <v>2</v>
      </c>
      <c r="H24" s="12">
        <v>2</v>
      </c>
      <c r="I24" s="13">
        <v>10</v>
      </c>
      <c r="J24" s="12">
        <v>19</v>
      </c>
      <c r="K24" s="8">
        <f t="shared" ref="K24" si="10">(26960+1315+1455)*1.06</f>
        <v>31513.800000000003</v>
      </c>
      <c r="L24" s="1">
        <v>0</v>
      </c>
      <c r="M24" s="1">
        <v>95</v>
      </c>
      <c r="N24" s="1">
        <v>33</v>
      </c>
      <c r="O24" s="1">
        <v>0</v>
      </c>
      <c r="P24" s="1">
        <v>0</v>
      </c>
      <c r="Q24" s="1">
        <v>33</v>
      </c>
      <c r="R24" s="1">
        <v>33</v>
      </c>
      <c r="S24" s="10">
        <f>SUM(L24:R24)</f>
        <v>194</v>
      </c>
      <c r="T24" s="1">
        <f t="shared" ref="T24" si="11">(9+3.5+2+4.5)*7</f>
        <v>133</v>
      </c>
    </row>
    <row r="25" spans="1:31" x14ac:dyDescent="0.25">
      <c r="A25" t="s">
        <v>24</v>
      </c>
      <c r="B25" s="4" t="s">
        <v>75</v>
      </c>
      <c r="C25" s="11" t="s">
        <v>42</v>
      </c>
      <c r="D25" s="12">
        <v>0</v>
      </c>
      <c r="E25" s="13">
        <v>14</v>
      </c>
      <c r="F25" s="12">
        <v>12</v>
      </c>
      <c r="G25" s="13">
        <v>0</v>
      </c>
      <c r="H25" s="12">
        <v>9</v>
      </c>
      <c r="I25" s="13">
        <v>10</v>
      </c>
      <c r="J25" s="12">
        <v>19</v>
      </c>
      <c r="K25" s="8">
        <f>(18370+4335+1315+145)*1.06</f>
        <v>25614.9</v>
      </c>
      <c r="L25" s="1">
        <v>0</v>
      </c>
      <c r="M25" s="1">
        <v>79</v>
      </c>
      <c r="N25" s="1">
        <v>48</v>
      </c>
      <c r="O25" s="1">
        <v>0</v>
      </c>
      <c r="P25" s="1">
        <v>23</v>
      </c>
      <c r="Q25" s="1">
        <v>33</v>
      </c>
      <c r="R25" s="1">
        <v>33</v>
      </c>
      <c r="S25" s="10">
        <f t="shared" ref="S25" si="12">SUM(L25:R25)</f>
        <v>216</v>
      </c>
      <c r="T25" s="1">
        <f>(8+5+3+2+3.5)*7</f>
        <v>150.5</v>
      </c>
    </row>
    <row r="26" spans="1:31" x14ac:dyDescent="0.25">
      <c r="A26" t="s">
        <v>25</v>
      </c>
      <c r="B26" s="4" t="s">
        <v>75</v>
      </c>
      <c r="C26" s="11" t="s">
        <v>42</v>
      </c>
      <c r="D26" s="12">
        <v>0</v>
      </c>
      <c r="E26" s="13">
        <v>14</v>
      </c>
      <c r="F26" s="12">
        <v>12</v>
      </c>
      <c r="G26" s="13">
        <v>0</v>
      </c>
      <c r="H26" s="12">
        <v>9</v>
      </c>
      <c r="I26" s="13">
        <v>10</v>
      </c>
      <c r="J26" s="12">
        <v>19</v>
      </c>
      <c r="K26" s="8">
        <f t="shared" ref="K26" si="13">(18370+4335+1315+145)*1.06</f>
        <v>25614.9</v>
      </c>
      <c r="L26" s="1">
        <v>0</v>
      </c>
      <c r="M26" s="1">
        <v>79</v>
      </c>
      <c r="N26" s="1">
        <v>48</v>
      </c>
      <c r="O26" s="1">
        <v>0</v>
      </c>
      <c r="P26" s="1">
        <v>23</v>
      </c>
      <c r="Q26" s="1">
        <v>33</v>
      </c>
      <c r="R26" s="1">
        <v>33</v>
      </c>
      <c r="S26" s="10">
        <f t="shared" ref="S26" si="14">SUM(L26:R26)</f>
        <v>216</v>
      </c>
      <c r="T26" s="1">
        <f t="shared" ref="T26" si="15">(8+5+3+2+3.5)*7</f>
        <v>150.5</v>
      </c>
      <c r="X26">
        <f>212-17</f>
        <v>195</v>
      </c>
    </row>
    <row r="27" spans="1:31" x14ac:dyDescent="0.25">
      <c r="A27" t="s">
        <v>26</v>
      </c>
      <c r="B27" s="4" t="s">
        <v>30</v>
      </c>
      <c r="C27" s="11" t="s">
        <v>50</v>
      </c>
      <c r="D27" s="12">
        <v>0</v>
      </c>
      <c r="E27" s="13">
        <v>12</v>
      </c>
      <c r="F27" s="12">
        <v>14</v>
      </c>
      <c r="G27" s="13">
        <v>2</v>
      </c>
      <c r="H27" s="12">
        <v>2</v>
      </c>
      <c r="I27" s="13">
        <v>10</v>
      </c>
      <c r="J27" s="12">
        <v>19</v>
      </c>
      <c r="K27" s="8">
        <f>(22460+3505+1315)*1.06</f>
        <v>28916.800000000003</v>
      </c>
      <c r="L27" s="1">
        <v>0</v>
      </c>
      <c r="M27" s="1">
        <v>56</v>
      </c>
      <c r="N27" s="1">
        <v>68</v>
      </c>
      <c r="O27" s="1">
        <v>0</v>
      </c>
      <c r="P27" s="1">
        <v>0</v>
      </c>
      <c r="Q27" s="1">
        <v>33</v>
      </c>
      <c r="R27" s="1">
        <v>33</v>
      </c>
      <c r="S27" s="10">
        <f t="shared" ref="S27:S30" si="16">SUM(L27:R27)</f>
        <v>190</v>
      </c>
      <c r="T27" s="1">
        <f>(5.5+6.5+3.5+2)*7</f>
        <v>122.5</v>
      </c>
      <c r="X27">
        <f>X26/16</f>
        <v>12.1875</v>
      </c>
    </row>
    <row r="28" spans="1:31" x14ac:dyDescent="0.25">
      <c r="A28" t="s">
        <v>27</v>
      </c>
      <c r="B28" s="4" t="s">
        <v>30</v>
      </c>
      <c r="C28" s="11" t="s">
        <v>50</v>
      </c>
      <c r="D28" s="12">
        <v>0</v>
      </c>
      <c r="E28" s="13">
        <v>12</v>
      </c>
      <c r="F28" s="12">
        <v>14</v>
      </c>
      <c r="G28" s="13">
        <v>2</v>
      </c>
      <c r="H28" s="12">
        <v>2</v>
      </c>
      <c r="I28" s="13">
        <v>10</v>
      </c>
      <c r="J28" s="12">
        <v>19</v>
      </c>
      <c r="K28" s="8">
        <f t="shared" ref="K28:K29" si="17">(22460+3505+1315)*1.06</f>
        <v>28916.800000000003</v>
      </c>
      <c r="L28" s="1">
        <v>0</v>
      </c>
      <c r="M28" s="1">
        <v>56</v>
      </c>
      <c r="N28" s="1">
        <v>68</v>
      </c>
      <c r="O28" s="1">
        <v>0</v>
      </c>
      <c r="P28" s="1">
        <v>0</v>
      </c>
      <c r="Q28" s="1">
        <v>33</v>
      </c>
      <c r="R28" s="1">
        <v>33</v>
      </c>
      <c r="S28" s="10">
        <f t="shared" si="16"/>
        <v>190</v>
      </c>
      <c r="T28" s="1">
        <f>(5.5+6.5+3.5+2)*7</f>
        <v>122.5</v>
      </c>
      <c r="X28">
        <f>17+X27</f>
        <v>29.1875</v>
      </c>
    </row>
    <row r="29" spans="1:31" x14ac:dyDescent="0.25">
      <c r="A29" t="s">
        <v>28</v>
      </c>
      <c r="B29" s="4" t="s">
        <v>30</v>
      </c>
      <c r="C29" s="11" t="s">
        <v>50</v>
      </c>
      <c r="D29" s="12">
        <v>0</v>
      </c>
      <c r="E29" s="13">
        <v>12</v>
      </c>
      <c r="F29" s="12">
        <v>14</v>
      </c>
      <c r="G29" s="13">
        <v>2</v>
      </c>
      <c r="H29" s="12">
        <v>2</v>
      </c>
      <c r="I29" s="13">
        <v>10</v>
      </c>
      <c r="J29" s="12">
        <v>19</v>
      </c>
      <c r="K29" s="8">
        <f t="shared" si="17"/>
        <v>28916.800000000003</v>
      </c>
      <c r="L29" s="1">
        <v>0</v>
      </c>
      <c r="M29" s="1">
        <v>56</v>
      </c>
      <c r="N29" s="1">
        <v>68</v>
      </c>
      <c r="O29" s="1">
        <v>0</v>
      </c>
      <c r="P29" s="1">
        <v>0</v>
      </c>
      <c r="Q29" s="1">
        <v>33</v>
      </c>
      <c r="R29" s="1">
        <v>33</v>
      </c>
      <c r="S29" s="10">
        <f t="shared" si="16"/>
        <v>190</v>
      </c>
      <c r="T29" s="1">
        <f>(5.5+6.5+3.5+2)*7</f>
        <v>122.5</v>
      </c>
    </row>
    <row r="30" spans="1:31" x14ac:dyDescent="0.25">
      <c r="A30" t="s">
        <v>29</v>
      </c>
      <c r="B30" s="4" t="s">
        <v>32</v>
      </c>
      <c r="C30" s="11" t="s">
        <v>42</v>
      </c>
      <c r="D30" s="12">
        <v>0</v>
      </c>
      <c r="E30" s="13">
        <v>10</v>
      </c>
      <c r="F30" s="12">
        <v>14</v>
      </c>
      <c r="G30" s="13">
        <v>9</v>
      </c>
      <c r="H30" s="12">
        <v>9</v>
      </c>
      <c r="I30" s="13">
        <v>10</v>
      </c>
      <c r="J30" s="12">
        <v>19</v>
      </c>
      <c r="K30" s="8">
        <f>(22460+3505+145+125+1315)*1.06</f>
        <v>29203</v>
      </c>
      <c r="L30" s="1">
        <v>0</v>
      </c>
      <c r="M30" s="1">
        <v>37</v>
      </c>
      <c r="N30" s="1">
        <v>68</v>
      </c>
      <c r="O30" s="1">
        <v>18</v>
      </c>
      <c r="P30" s="1">
        <v>23</v>
      </c>
      <c r="Q30" s="1">
        <v>33</v>
      </c>
      <c r="R30" s="1">
        <v>33</v>
      </c>
      <c r="S30" s="10">
        <f t="shared" si="16"/>
        <v>212</v>
      </c>
      <c r="T30" s="1">
        <f>(4.5+6.5+3+3.5+3.5+2)*7</f>
        <v>161</v>
      </c>
    </row>
    <row r="31" spans="1:31" x14ac:dyDescent="0.25">
      <c r="A31" t="s">
        <v>72</v>
      </c>
      <c r="B31" s="4" t="s">
        <v>32</v>
      </c>
      <c r="C31" s="11" t="s">
        <v>73</v>
      </c>
      <c r="D31" s="12">
        <v>0</v>
      </c>
      <c r="E31" s="13">
        <v>10</v>
      </c>
      <c r="F31" s="12">
        <v>14</v>
      </c>
      <c r="G31" s="13">
        <v>9</v>
      </c>
      <c r="H31" s="12">
        <v>9</v>
      </c>
      <c r="I31" s="13">
        <v>10</v>
      </c>
      <c r="J31" s="12">
        <v>19</v>
      </c>
      <c r="K31" s="8">
        <f>(22460+3505+145+125+1315)*1.06</f>
        <v>29203</v>
      </c>
      <c r="L31" s="1">
        <v>0</v>
      </c>
      <c r="M31" s="1">
        <v>37</v>
      </c>
      <c r="N31" s="1">
        <v>68</v>
      </c>
      <c r="O31" s="1">
        <v>18</v>
      </c>
      <c r="P31" s="1">
        <v>23</v>
      </c>
      <c r="Q31" s="1">
        <v>33</v>
      </c>
      <c r="R31" s="1">
        <v>33</v>
      </c>
      <c r="S31" s="10">
        <f>SUM(L31:R31)</f>
        <v>212</v>
      </c>
      <c r="T31" s="1">
        <f>(4.5+6.5+3+3.5+3.5+2)*7</f>
        <v>161</v>
      </c>
    </row>
  </sheetData>
  <conditionalFormatting sqref="L3:R18">
    <cfRule type="colorScale" priority="42">
      <colorScale>
        <cfvo type="min"/>
        <cfvo type="max"/>
        <color rgb="FFFCFCFF"/>
        <color rgb="FF63BE7B"/>
      </colorScale>
    </cfRule>
  </conditionalFormatting>
  <conditionalFormatting sqref="D3:J18">
    <cfRule type="colorScale" priority="5">
      <colorScale>
        <cfvo type="min"/>
        <cfvo type="max"/>
        <color rgb="FFFFEF9C"/>
        <color rgb="FF63BE7B"/>
      </colorScale>
    </cfRule>
  </conditionalFormatting>
  <conditionalFormatting sqref="K3:K1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{46921D96-8E08-4CBE-A922-532748F03B4E}</x14:id>
        </ext>
      </extLst>
    </cfRule>
  </conditionalFormatting>
  <conditionalFormatting sqref="L22:R31">
    <cfRule type="colorScale" priority="66">
      <colorScale>
        <cfvo type="min"/>
        <cfvo type="max"/>
        <color rgb="FFFCFCFF"/>
        <color rgb="FF63BE7B"/>
      </colorScale>
    </cfRule>
  </conditionalFormatting>
  <conditionalFormatting sqref="D22:J31">
    <cfRule type="colorScale" priority="67">
      <colorScale>
        <cfvo type="min"/>
        <cfvo type="max"/>
        <color rgb="FFFFEF9C"/>
        <color rgb="FF63BE7B"/>
      </colorScale>
    </cfRule>
  </conditionalFormatting>
  <conditionalFormatting sqref="K22:K31">
    <cfRule type="dataBar" priority="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{58DDF565-7E56-4665-B210-B0AC4F62FD4A}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921D96-8E08-4CBE-A922-532748F03B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K3:K18</xm:sqref>
        </x14:conditionalFormatting>
        <x14:conditionalFormatting xmlns:xm="http://schemas.microsoft.com/office/excel/2006/main">
          <x14:cfRule type="dataBar" id="{58DDF565-7E56-4665-B210-B0AC4F62FD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K22:K31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Q173"/>
  <sheetViews>
    <sheetView topLeftCell="A112" workbookViewId="0">
      <selection activeCell="A10" sqref="A10:AM138"/>
    </sheetView>
  </sheetViews>
  <sheetFormatPr baseColWidth="10" defaultRowHeight="15" x14ac:dyDescent="0.25"/>
  <cols>
    <col min="1" max="1" width="5.140625" bestFit="1" customWidth="1"/>
    <col min="2" max="2" width="4.7109375" bestFit="1" customWidth="1"/>
    <col min="3" max="6" width="4.5703125" bestFit="1" customWidth="1"/>
    <col min="7" max="7" width="3.5703125" bestFit="1" customWidth="1"/>
    <col min="8" max="10" width="4.5703125" bestFit="1" customWidth="1"/>
    <col min="11" max="11" width="7.28515625" bestFit="1" customWidth="1"/>
    <col min="12" max="12" width="5.5703125" bestFit="1" customWidth="1"/>
    <col min="13" max="13" width="5.7109375" bestFit="1" customWidth="1"/>
    <col min="14" max="14" width="5.28515625" bestFit="1" customWidth="1"/>
    <col min="15" max="15" width="5.5703125" bestFit="1" customWidth="1"/>
    <col min="16" max="16" width="5.42578125" bestFit="1" customWidth="1"/>
    <col min="17" max="18" width="5.7109375" bestFit="1" customWidth="1"/>
    <col min="19" max="19" width="9.140625" bestFit="1" customWidth="1"/>
    <col min="20" max="20" width="4.42578125" customWidth="1"/>
    <col min="21" max="21" width="5.140625" bestFit="1" customWidth="1"/>
    <col min="22" max="22" width="4.7109375" bestFit="1" customWidth="1"/>
    <col min="23" max="26" width="4.5703125" bestFit="1" customWidth="1"/>
    <col min="27" max="28" width="3.5703125" bestFit="1" customWidth="1"/>
    <col min="29" max="30" width="4.5703125" bestFit="1" customWidth="1"/>
    <col min="31" max="31" width="7.28515625" bestFit="1" customWidth="1"/>
    <col min="32" max="32" width="5.5703125" bestFit="1" customWidth="1"/>
    <col min="33" max="33" width="5.7109375" bestFit="1" customWidth="1"/>
    <col min="34" max="34" width="5.28515625" bestFit="1" customWidth="1"/>
    <col min="35" max="35" width="5.5703125" bestFit="1" customWidth="1"/>
    <col min="36" max="36" width="5.42578125" bestFit="1" customWidth="1"/>
    <col min="37" max="38" width="5.7109375" bestFit="1" customWidth="1"/>
    <col min="39" max="39" width="9.140625" bestFit="1" customWidth="1"/>
    <col min="40" max="40" width="7" customWidth="1"/>
    <col min="41" max="42" width="5.42578125" customWidth="1"/>
  </cols>
  <sheetData>
    <row r="1" spans="1:43" x14ac:dyDescent="0.25">
      <c r="D1" s="1"/>
      <c r="E1" s="1"/>
      <c r="F1" s="1"/>
      <c r="G1" s="1"/>
      <c r="H1" s="1"/>
      <c r="I1" s="1"/>
      <c r="J1" s="1"/>
      <c r="K1" s="2">
        <f>SUM(K3:K9)</f>
        <v>0</v>
      </c>
      <c r="L1" s="1"/>
      <c r="M1" s="1"/>
      <c r="N1" s="1"/>
      <c r="O1" s="1"/>
      <c r="P1" s="1"/>
      <c r="Q1" s="1"/>
      <c r="R1" s="1"/>
      <c r="S1" s="1"/>
      <c r="AE1" t="s">
        <v>122</v>
      </c>
    </row>
    <row r="2" spans="1:4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AF2" t="s">
        <v>123</v>
      </c>
    </row>
    <row r="3" spans="1:43" x14ac:dyDescent="0.25">
      <c r="B3" s="4"/>
      <c r="C3" s="5"/>
      <c r="D3" s="6">
        <v>2</v>
      </c>
      <c r="E3" s="7">
        <v>0</v>
      </c>
      <c r="F3" s="6">
        <v>0</v>
      </c>
      <c r="G3" s="7">
        <v>0</v>
      </c>
      <c r="H3" s="6">
        <v>0</v>
      </c>
      <c r="I3" s="7">
        <v>0</v>
      </c>
      <c r="J3" s="6">
        <v>2</v>
      </c>
      <c r="K3" s="8"/>
      <c r="L3" s="1">
        <v>0</v>
      </c>
      <c r="M3" s="1">
        <v>0</v>
      </c>
      <c r="N3" s="1">
        <v>0</v>
      </c>
      <c r="O3" s="9">
        <v>0</v>
      </c>
      <c r="P3" s="9">
        <v>0</v>
      </c>
      <c r="Q3" s="9">
        <v>0</v>
      </c>
      <c r="R3" s="9">
        <v>0</v>
      </c>
      <c r="S3" s="10">
        <f>SUM(L3:R3)</f>
        <v>0</v>
      </c>
      <c r="AE3" t="s">
        <v>124</v>
      </c>
    </row>
    <row r="4" spans="1:43" x14ac:dyDescent="0.25">
      <c r="B4" s="4"/>
      <c r="C4" s="11"/>
      <c r="D4" s="12">
        <v>0</v>
      </c>
      <c r="E4" s="13">
        <v>2</v>
      </c>
      <c r="F4" s="12">
        <v>2</v>
      </c>
      <c r="G4" s="13">
        <v>2</v>
      </c>
      <c r="H4" s="12">
        <v>2</v>
      </c>
      <c r="I4" s="13">
        <v>2</v>
      </c>
      <c r="J4" s="12">
        <v>2</v>
      </c>
      <c r="K4" s="8"/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0">
        <f t="shared" ref="S4:S8" si="0">SUM(L4:R4)</f>
        <v>0</v>
      </c>
      <c r="AF4" t="s">
        <v>125</v>
      </c>
    </row>
    <row r="5" spans="1:43" x14ac:dyDescent="0.25">
      <c r="B5" s="4"/>
      <c r="C5" s="11"/>
      <c r="D5" s="12">
        <v>0</v>
      </c>
      <c r="E5" s="13">
        <v>2</v>
      </c>
      <c r="F5" s="12">
        <v>2</v>
      </c>
      <c r="G5" s="13">
        <v>2</v>
      </c>
      <c r="H5" s="12">
        <v>2</v>
      </c>
      <c r="I5" s="13">
        <v>2</v>
      </c>
      <c r="J5" s="12">
        <v>2</v>
      </c>
      <c r="K5" s="8"/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0">
        <f>SUM(L5:R5)</f>
        <v>0</v>
      </c>
      <c r="AF5" t="s">
        <v>126</v>
      </c>
    </row>
    <row r="6" spans="1:43" x14ac:dyDescent="0.25">
      <c r="B6" s="4"/>
      <c r="C6" s="11"/>
      <c r="D6" s="12">
        <v>0</v>
      </c>
      <c r="E6" s="13">
        <v>2</v>
      </c>
      <c r="F6" s="12">
        <v>2</v>
      </c>
      <c r="G6" s="13">
        <v>2</v>
      </c>
      <c r="H6" s="12">
        <v>2</v>
      </c>
      <c r="I6" s="13">
        <v>2</v>
      </c>
      <c r="J6" s="12">
        <v>2</v>
      </c>
      <c r="K6" s="8"/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0">
        <f>SUM(L6:R6)</f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t="s">
        <v>127</v>
      </c>
      <c r="AG6" s="1"/>
      <c r="AH6" s="1"/>
      <c r="AI6" s="1"/>
      <c r="AJ6" s="1"/>
      <c r="AK6" s="1"/>
      <c r="AL6" s="1"/>
      <c r="AM6" s="1"/>
    </row>
    <row r="7" spans="1:43" x14ac:dyDescent="0.25">
      <c r="B7" s="4" t="s">
        <v>131</v>
      </c>
      <c r="C7" s="11" t="s">
        <v>73</v>
      </c>
      <c r="D7" s="12">
        <v>0</v>
      </c>
      <c r="E7" s="13">
        <v>2</v>
      </c>
      <c r="F7" s="12">
        <v>5</v>
      </c>
      <c r="G7" s="13">
        <v>5</v>
      </c>
      <c r="H7" s="12">
        <v>4</v>
      </c>
      <c r="I7" s="13">
        <v>3</v>
      </c>
      <c r="J7" s="12">
        <v>2</v>
      </c>
      <c r="K7" s="8"/>
      <c r="L7" s="1">
        <v>0</v>
      </c>
      <c r="M7" s="1">
        <v>0</v>
      </c>
      <c r="N7" s="1">
        <v>5.5</v>
      </c>
      <c r="O7" s="1">
        <v>5.5</v>
      </c>
      <c r="P7" s="1">
        <v>4</v>
      </c>
      <c r="Q7" s="1">
        <v>2</v>
      </c>
      <c r="R7" s="1">
        <v>0</v>
      </c>
      <c r="S7" s="10">
        <f t="shared" si="0"/>
        <v>17</v>
      </c>
      <c r="U7" s="1"/>
      <c r="V7" s="1"/>
      <c r="W7" s="1"/>
      <c r="X7" s="1"/>
      <c r="Y7" s="1"/>
      <c r="Z7" s="1"/>
      <c r="AA7" s="1"/>
      <c r="AB7" s="1"/>
      <c r="AC7" s="1"/>
      <c r="AD7" s="1"/>
      <c r="AF7" t="s">
        <v>128</v>
      </c>
      <c r="AG7" s="1"/>
      <c r="AH7" s="1"/>
      <c r="AI7" s="1"/>
      <c r="AJ7" s="1"/>
      <c r="AK7" s="1"/>
      <c r="AL7" s="1"/>
      <c r="AM7" s="1"/>
      <c r="AP7" s="34">
        <f>AP8+AP12</f>
        <v>7.21875</v>
      </c>
    </row>
    <row r="8" spans="1:43" x14ac:dyDescent="0.25">
      <c r="B8" s="4"/>
      <c r="C8" s="11"/>
      <c r="D8" s="12">
        <v>0</v>
      </c>
      <c r="E8" s="13">
        <v>2</v>
      </c>
      <c r="F8" s="12">
        <v>2</v>
      </c>
      <c r="G8" s="13">
        <v>2</v>
      </c>
      <c r="H8" s="12">
        <v>2</v>
      </c>
      <c r="I8" s="13">
        <v>2</v>
      </c>
      <c r="J8" s="12">
        <v>2</v>
      </c>
      <c r="K8" s="8"/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0">
        <f t="shared" si="0"/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t="s">
        <v>129</v>
      </c>
      <c r="AG8" s="1"/>
      <c r="AH8" s="1"/>
      <c r="AI8" s="1"/>
      <c r="AJ8" s="1"/>
      <c r="AK8" s="1"/>
      <c r="AL8" s="1"/>
      <c r="AM8" s="1"/>
      <c r="AP8">
        <f>31/16</f>
        <v>1.9375</v>
      </c>
      <c r="AQ8" t="s">
        <v>120</v>
      </c>
    </row>
    <row r="9" spans="1:43" x14ac:dyDescent="0.25">
      <c r="B9" s="4"/>
      <c r="C9" s="11"/>
      <c r="D9" s="12">
        <v>0</v>
      </c>
      <c r="E9" s="13">
        <v>2</v>
      </c>
      <c r="F9" s="12">
        <v>2</v>
      </c>
      <c r="G9" s="13">
        <v>2</v>
      </c>
      <c r="H9" s="12">
        <v>2</v>
      </c>
      <c r="I9" s="13">
        <v>2</v>
      </c>
      <c r="J9" s="12">
        <v>2</v>
      </c>
      <c r="K9" s="8"/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0">
        <f t="shared" ref="S9" si="1">SUM(L9:R9)</f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F9" t="s">
        <v>130</v>
      </c>
      <c r="AG9" s="1"/>
      <c r="AH9" s="1"/>
      <c r="AI9" s="1"/>
      <c r="AJ9" s="1"/>
      <c r="AK9" s="1"/>
      <c r="AL9" s="1"/>
      <c r="AM9" s="1"/>
    </row>
    <row r="10" spans="1:43" x14ac:dyDescent="0.25">
      <c r="D10" s="1"/>
      <c r="E10" s="1"/>
      <c r="F10" s="1"/>
      <c r="G10" s="1"/>
      <c r="H10" s="1"/>
      <c r="I10" s="1"/>
      <c r="J10" s="1"/>
      <c r="K10" s="2">
        <f>SUM(K12:K26)</f>
        <v>13858.650000000001</v>
      </c>
      <c r="L10" s="1"/>
      <c r="M10" s="1"/>
      <c r="N10" s="1"/>
      <c r="O10" s="1"/>
      <c r="P10" s="1"/>
      <c r="Q10" s="1"/>
      <c r="R10" s="1"/>
      <c r="S10" s="1"/>
      <c r="X10" s="1"/>
      <c r="Y10" s="1"/>
      <c r="Z10" s="1"/>
      <c r="AA10" s="1"/>
      <c r="AB10" s="1"/>
      <c r="AC10" s="1"/>
      <c r="AD10" s="1"/>
      <c r="AE10" s="2">
        <f>SUM(AE12:AE26)</f>
        <v>14353.050000000001</v>
      </c>
      <c r="AF10" s="1"/>
      <c r="AG10" s="1"/>
      <c r="AH10" s="1"/>
      <c r="AI10" s="1"/>
      <c r="AJ10" s="1"/>
      <c r="AK10" s="1"/>
      <c r="AL10" s="1"/>
      <c r="AM10" s="1"/>
    </row>
    <row r="11" spans="1:43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  <c r="R11" s="3" t="s">
        <v>17</v>
      </c>
      <c r="S11" s="3" t="s">
        <v>18</v>
      </c>
      <c r="U11" s="3" t="s">
        <v>0</v>
      </c>
      <c r="V11" s="3" t="s">
        <v>1</v>
      </c>
      <c r="W11" s="3" t="s">
        <v>2</v>
      </c>
      <c r="X11" s="3" t="s">
        <v>3</v>
      </c>
      <c r="Y11" s="3" t="s">
        <v>4</v>
      </c>
      <c r="Z11" s="3" t="s">
        <v>5</v>
      </c>
      <c r="AA11" s="3" t="s">
        <v>6</v>
      </c>
      <c r="AB11" s="3" t="s">
        <v>7</v>
      </c>
      <c r="AC11" s="3" t="s">
        <v>8</v>
      </c>
      <c r="AD11" s="3" t="s">
        <v>9</v>
      </c>
      <c r="AE11" s="3" t="s">
        <v>10</v>
      </c>
      <c r="AF11" s="3" t="s">
        <v>11</v>
      </c>
      <c r="AG11" s="3" t="s">
        <v>12</v>
      </c>
      <c r="AH11" s="3" t="s">
        <v>13</v>
      </c>
      <c r="AI11" s="3" t="s">
        <v>14</v>
      </c>
      <c r="AJ11" s="3" t="s">
        <v>15</v>
      </c>
      <c r="AK11" s="3" t="s">
        <v>16</v>
      </c>
      <c r="AL11" s="3" t="s">
        <v>17</v>
      </c>
      <c r="AM11" s="3" t="s">
        <v>18</v>
      </c>
    </row>
    <row r="12" spans="1:43" x14ac:dyDescent="0.25">
      <c r="A12" t="s">
        <v>19</v>
      </c>
      <c r="B12" s="4"/>
      <c r="C12" s="5"/>
      <c r="D12" s="6">
        <v>2</v>
      </c>
      <c r="E12" s="7">
        <v>2</v>
      </c>
      <c r="F12" s="6">
        <v>0</v>
      </c>
      <c r="G12" s="7">
        <v>0</v>
      </c>
      <c r="H12" s="6">
        <v>0</v>
      </c>
      <c r="I12" s="7">
        <v>0</v>
      </c>
      <c r="J12" s="6">
        <v>2</v>
      </c>
      <c r="K12" s="8"/>
      <c r="L12" s="1">
        <v>0</v>
      </c>
      <c r="M12" s="1">
        <v>0</v>
      </c>
      <c r="N12" s="1">
        <v>0</v>
      </c>
      <c r="O12" s="9">
        <v>0</v>
      </c>
      <c r="P12" s="9">
        <v>0</v>
      </c>
      <c r="Q12" s="9">
        <v>0</v>
      </c>
      <c r="R12" s="9">
        <v>0</v>
      </c>
      <c r="S12" s="10">
        <f>SUM(L12:R12)</f>
        <v>0</v>
      </c>
      <c r="U12" t="s">
        <v>19</v>
      </c>
      <c r="V12" s="4"/>
      <c r="W12" s="5"/>
      <c r="X12" s="6">
        <v>2</v>
      </c>
      <c r="Y12" s="7">
        <v>2</v>
      </c>
      <c r="Z12" s="6">
        <v>0</v>
      </c>
      <c r="AA12" s="7">
        <v>0</v>
      </c>
      <c r="AB12" s="6">
        <v>0</v>
      </c>
      <c r="AC12" s="7">
        <v>0</v>
      </c>
      <c r="AD12" s="6">
        <v>2</v>
      </c>
      <c r="AE12" s="8"/>
      <c r="AF12" s="1">
        <v>0</v>
      </c>
      <c r="AG12" s="1">
        <v>0</v>
      </c>
      <c r="AH12" s="1">
        <v>0</v>
      </c>
      <c r="AI12" s="9">
        <v>0</v>
      </c>
      <c r="AJ12" s="9">
        <v>0</v>
      </c>
      <c r="AK12" s="9">
        <v>0</v>
      </c>
      <c r="AL12" s="9">
        <v>0</v>
      </c>
      <c r="AM12" s="10">
        <f>SUM(AF12:AL12)</f>
        <v>0</v>
      </c>
      <c r="AP12" s="34">
        <f>AP31+AP48+AP62+AP79</f>
        <v>5.28125</v>
      </c>
    </row>
    <row r="13" spans="1:43" x14ac:dyDescent="0.25">
      <c r="A13" t="s">
        <v>21</v>
      </c>
      <c r="B13" s="4"/>
      <c r="C13" s="11"/>
      <c r="D13" s="12">
        <v>0</v>
      </c>
      <c r="E13" s="13">
        <v>2</v>
      </c>
      <c r="F13" s="12">
        <v>2</v>
      </c>
      <c r="G13" s="13">
        <v>2</v>
      </c>
      <c r="H13" s="12">
        <v>2</v>
      </c>
      <c r="I13" s="13">
        <v>2</v>
      </c>
      <c r="J13" s="12">
        <v>2</v>
      </c>
      <c r="K13" s="8"/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0">
        <f t="shared" ref="S13" si="2">SUM(L13:R13)</f>
        <v>0</v>
      </c>
      <c r="U13" t="s">
        <v>21</v>
      </c>
      <c r="V13" s="4"/>
      <c r="W13" s="11"/>
      <c r="X13" s="12">
        <v>0</v>
      </c>
      <c r="Y13" s="13">
        <v>2</v>
      </c>
      <c r="Z13" s="12">
        <v>2</v>
      </c>
      <c r="AA13" s="13">
        <v>2</v>
      </c>
      <c r="AB13" s="12">
        <v>2</v>
      </c>
      <c r="AC13" s="13">
        <v>2</v>
      </c>
      <c r="AD13" s="12">
        <v>2</v>
      </c>
      <c r="AE13" s="8"/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0">
        <f t="shared" ref="AM13" si="3">SUM(AF13:AL13)</f>
        <v>0</v>
      </c>
    </row>
    <row r="14" spans="1:43" x14ac:dyDescent="0.25">
      <c r="A14" t="s">
        <v>23</v>
      </c>
      <c r="B14" s="4"/>
      <c r="C14" s="11"/>
      <c r="D14" s="12">
        <v>0</v>
      </c>
      <c r="E14" s="13">
        <v>2</v>
      </c>
      <c r="F14" s="12">
        <v>2</v>
      </c>
      <c r="G14" s="13">
        <v>2</v>
      </c>
      <c r="H14" s="12">
        <v>2</v>
      </c>
      <c r="I14" s="13">
        <v>2</v>
      </c>
      <c r="J14" s="12">
        <v>2</v>
      </c>
      <c r="K14" s="8"/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0">
        <f>SUM(L14:R14)</f>
        <v>0</v>
      </c>
      <c r="U14" t="s">
        <v>23</v>
      </c>
      <c r="V14" s="4"/>
      <c r="W14" s="11"/>
      <c r="X14" s="12">
        <v>0</v>
      </c>
      <c r="Y14" s="13">
        <v>2</v>
      </c>
      <c r="Z14" s="12">
        <v>2</v>
      </c>
      <c r="AA14" s="13">
        <v>2</v>
      </c>
      <c r="AB14" s="12">
        <v>2</v>
      </c>
      <c r="AC14" s="13">
        <v>2</v>
      </c>
      <c r="AD14" s="12">
        <v>2</v>
      </c>
      <c r="AE14" s="8"/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0">
        <f>SUM(AF14:AL14)</f>
        <v>0</v>
      </c>
    </row>
    <row r="15" spans="1:43" x14ac:dyDescent="0.25">
      <c r="A15" t="s">
        <v>24</v>
      </c>
      <c r="B15" s="4"/>
      <c r="C15" s="11"/>
      <c r="D15" s="12">
        <v>0</v>
      </c>
      <c r="E15" s="13">
        <v>2</v>
      </c>
      <c r="F15" s="12">
        <v>2</v>
      </c>
      <c r="G15" s="13">
        <v>2</v>
      </c>
      <c r="H15" s="12">
        <v>2</v>
      </c>
      <c r="I15" s="13">
        <v>2</v>
      </c>
      <c r="J15" s="12">
        <v>2</v>
      </c>
      <c r="K15" s="8"/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0">
        <f>SUM(L15:R15)</f>
        <v>0</v>
      </c>
      <c r="U15" t="s">
        <v>24</v>
      </c>
      <c r="V15" s="4"/>
      <c r="W15" s="11"/>
      <c r="X15" s="12">
        <v>0</v>
      </c>
      <c r="Y15" s="13">
        <v>2</v>
      </c>
      <c r="Z15" s="12">
        <v>2</v>
      </c>
      <c r="AA15" s="13">
        <v>2</v>
      </c>
      <c r="AB15" s="12">
        <v>2</v>
      </c>
      <c r="AC15" s="13">
        <v>2</v>
      </c>
      <c r="AD15" s="12">
        <v>2</v>
      </c>
      <c r="AE15" s="8"/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0">
        <f>SUM(AF15:AL15)</f>
        <v>0</v>
      </c>
    </row>
    <row r="16" spans="1:43" x14ac:dyDescent="0.25">
      <c r="A16" t="s">
        <v>25</v>
      </c>
      <c r="B16" s="4"/>
      <c r="C16" s="11"/>
      <c r="D16" s="12">
        <v>0</v>
      </c>
      <c r="E16" s="13">
        <v>2</v>
      </c>
      <c r="F16" s="12">
        <v>2</v>
      </c>
      <c r="G16" s="13">
        <v>2</v>
      </c>
      <c r="H16" s="12">
        <v>2</v>
      </c>
      <c r="I16" s="13">
        <v>2</v>
      </c>
      <c r="J16" s="12">
        <v>2</v>
      </c>
      <c r="K16" s="8"/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0">
        <f t="shared" ref="S16:S18" si="4">SUM(L16:R16)</f>
        <v>0</v>
      </c>
      <c r="U16" t="s">
        <v>25</v>
      </c>
      <c r="V16" s="4"/>
      <c r="W16" s="11"/>
      <c r="X16" s="12">
        <v>0</v>
      </c>
      <c r="Y16" s="13">
        <v>2</v>
      </c>
      <c r="Z16" s="12">
        <v>2</v>
      </c>
      <c r="AA16" s="13">
        <v>2</v>
      </c>
      <c r="AB16" s="12">
        <v>2</v>
      </c>
      <c r="AC16" s="13">
        <v>2</v>
      </c>
      <c r="AD16" s="12">
        <v>2</v>
      </c>
      <c r="AE16" s="8"/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0">
        <f t="shared" ref="AM16:AM18" si="5">SUM(AF16:AL16)</f>
        <v>0</v>
      </c>
    </row>
    <row r="17" spans="1:43" x14ac:dyDescent="0.25">
      <c r="A17" t="s">
        <v>26</v>
      </c>
      <c r="B17" s="4"/>
      <c r="C17" s="11"/>
      <c r="D17" s="12">
        <v>0</v>
      </c>
      <c r="E17" s="13">
        <v>2</v>
      </c>
      <c r="F17" s="12">
        <v>2</v>
      </c>
      <c r="G17" s="13">
        <v>2</v>
      </c>
      <c r="H17" s="12">
        <v>2</v>
      </c>
      <c r="I17" s="13">
        <v>2</v>
      </c>
      <c r="J17" s="12">
        <v>2</v>
      </c>
      <c r="K17" s="8"/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0">
        <f t="shared" si="4"/>
        <v>0</v>
      </c>
      <c r="U17" t="s">
        <v>26</v>
      </c>
      <c r="V17" s="4"/>
      <c r="W17" s="11"/>
      <c r="X17" s="12">
        <v>0</v>
      </c>
      <c r="Y17" s="13">
        <v>2</v>
      </c>
      <c r="Z17" s="12">
        <v>2</v>
      </c>
      <c r="AA17" s="13">
        <v>2</v>
      </c>
      <c r="AB17" s="12">
        <v>2</v>
      </c>
      <c r="AC17" s="13">
        <v>2</v>
      </c>
      <c r="AD17" s="12">
        <v>2</v>
      </c>
      <c r="AE17" s="8"/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0">
        <f t="shared" si="5"/>
        <v>0</v>
      </c>
    </row>
    <row r="18" spans="1:43" x14ac:dyDescent="0.25">
      <c r="A18" t="s">
        <v>27</v>
      </c>
      <c r="B18" s="4"/>
      <c r="C18" s="11"/>
      <c r="D18" s="12">
        <v>0</v>
      </c>
      <c r="E18" s="13">
        <v>2</v>
      </c>
      <c r="F18" s="12">
        <v>2</v>
      </c>
      <c r="G18" s="13">
        <v>2</v>
      </c>
      <c r="H18" s="12">
        <v>2</v>
      </c>
      <c r="I18" s="13">
        <v>2</v>
      </c>
      <c r="J18" s="12">
        <v>2</v>
      </c>
      <c r="K18" s="8"/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0">
        <f t="shared" si="4"/>
        <v>0</v>
      </c>
      <c r="U18" t="s">
        <v>27</v>
      </c>
      <c r="V18" s="4"/>
      <c r="W18" s="11"/>
      <c r="X18" s="12">
        <v>0</v>
      </c>
      <c r="Y18" s="13">
        <v>2</v>
      </c>
      <c r="Z18" s="12">
        <v>2</v>
      </c>
      <c r="AA18" s="13">
        <v>2</v>
      </c>
      <c r="AB18" s="12">
        <v>2</v>
      </c>
      <c r="AC18" s="13">
        <v>2</v>
      </c>
      <c r="AD18" s="12">
        <v>2</v>
      </c>
      <c r="AE18" s="8"/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0">
        <f t="shared" si="5"/>
        <v>0</v>
      </c>
    </row>
    <row r="19" spans="1:43" x14ac:dyDescent="0.25">
      <c r="A19" t="s">
        <v>28</v>
      </c>
      <c r="B19" s="4"/>
      <c r="C19" s="11"/>
      <c r="D19" s="12">
        <v>0</v>
      </c>
      <c r="E19" s="13">
        <v>2</v>
      </c>
      <c r="F19" s="12">
        <v>2</v>
      </c>
      <c r="G19" s="13">
        <v>2</v>
      </c>
      <c r="H19" s="12">
        <v>2</v>
      </c>
      <c r="I19" s="13">
        <v>2</v>
      </c>
      <c r="J19" s="12">
        <v>2</v>
      </c>
      <c r="K19" s="8"/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0">
        <f t="shared" ref="S19:S23" si="6">SUM(L19:R19)</f>
        <v>0</v>
      </c>
      <c r="U19" t="s">
        <v>28</v>
      </c>
      <c r="V19" s="4"/>
      <c r="W19" s="11"/>
      <c r="X19" s="12">
        <v>0</v>
      </c>
      <c r="Y19" s="13">
        <v>2</v>
      </c>
      <c r="Z19" s="12">
        <v>2</v>
      </c>
      <c r="AA19" s="13">
        <v>2</v>
      </c>
      <c r="AB19" s="12">
        <v>2</v>
      </c>
      <c r="AC19" s="13">
        <v>2</v>
      </c>
      <c r="AD19" s="12">
        <v>2</v>
      </c>
      <c r="AE19" s="8"/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0">
        <f t="shared" ref="AM19:AM23" si="7">SUM(AF19:AL19)</f>
        <v>0</v>
      </c>
    </row>
    <row r="20" spans="1:43" x14ac:dyDescent="0.25">
      <c r="A20" t="s">
        <v>29</v>
      </c>
      <c r="B20" s="4"/>
      <c r="C20" s="11"/>
      <c r="D20" s="12">
        <v>0</v>
      </c>
      <c r="E20" s="13">
        <v>2</v>
      </c>
      <c r="F20" s="12">
        <v>2</v>
      </c>
      <c r="G20" s="13">
        <v>2</v>
      </c>
      <c r="H20" s="12">
        <v>2</v>
      </c>
      <c r="I20" s="13">
        <v>2</v>
      </c>
      <c r="J20" s="12">
        <v>2</v>
      </c>
      <c r="K20" s="8"/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0">
        <f t="shared" si="6"/>
        <v>0</v>
      </c>
      <c r="U20" t="s">
        <v>29</v>
      </c>
      <c r="V20" s="4"/>
      <c r="W20" s="11"/>
      <c r="X20" s="12">
        <v>0</v>
      </c>
      <c r="Y20" s="13">
        <v>2</v>
      </c>
      <c r="Z20" s="12">
        <v>2</v>
      </c>
      <c r="AA20" s="13">
        <v>2</v>
      </c>
      <c r="AB20" s="12">
        <v>2</v>
      </c>
      <c r="AC20" s="13">
        <v>2</v>
      </c>
      <c r="AD20" s="12">
        <v>2</v>
      </c>
      <c r="AE20" s="8"/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0">
        <f t="shared" si="7"/>
        <v>0</v>
      </c>
    </row>
    <row r="21" spans="1:43" x14ac:dyDescent="0.25">
      <c r="A21" t="s">
        <v>72</v>
      </c>
      <c r="B21" s="4"/>
      <c r="C21" s="11"/>
      <c r="D21" s="12">
        <v>0</v>
      </c>
      <c r="E21" s="13">
        <v>2</v>
      </c>
      <c r="F21" s="12">
        <v>2</v>
      </c>
      <c r="G21" s="13">
        <v>2</v>
      </c>
      <c r="H21" s="12">
        <v>2</v>
      </c>
      <c r="I21" s="13">
        <v>2</v>
      </c>
      <c r="J21" s="12">
        <v>2</v>
      </c>
      <c r="K21" s="8"/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0">
        <f t="shared" si="6"/>
        <v>0</v>
      </c>
      <c r="U21" t="s">
        <v>72</v>
      </c>
      <c r="V21" s="4"/>
      <c r="W21" s="11"/>
      <c r="X21" s="12">
        <v>0</v>
      </c>
      <c r="Y21" s="13">
        <v>2</v>
      </c>
      <c r="Z21" s="12">
        <v>2</v>
      </c>
      <c r="AA21" s="13">
        <v>2</v>
      </c>
      <c r="AB21" s="12">
        <v>2</v>
      </c>
      <c r="AC21" s="13">
        <v>2</v>
      </c>
      <c r="AD21" s="12">
        <v>2</v>
      </c>
      <c r="AE21" s="8"/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0">
        <f t="shared" si="7"/>
        <v>0</v>
      </c>
    </row>
    <row r="22" spans="1:43" x14ac:dyDescent="0.25">
      <c r="A22" t="s">
        <v>31</v>
      </c>
      <c r="B22" s="4"/>
      <c r="C22" s="11"/>
      <c r="D22" s="12">
        <v>0</v>
      </c>
      <c r="E22" s="13">
        <v>2</v>
      </c>
      <c r="F22" s="12">
        <v>2</v>
      </c>
      <c r="G22" s="13">
        <v>2</v>
      </c>
      <c r="H22" s="12">
        <v>2</v>
      </c>
      <c r="I22" s="13">
        <v>2</v>
      </c>
      <c r="J22" s="12">
        <v>2</v>
      </c>
      <c r="K22" s="8"/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0">
        <f t="shared" si="6"/>
        <v>0</v>
      </c>
      <c r="U22" t="s">
        <v>31</v>
      </c>
      <c r="V22" s="4"/>
      <c r="W22" s="11"/>
      <c r="X22" s="12">
        <v>0</v>
      </c>
      <c r="Y22" s="13">
        <v>2</v>
      </c>
      <c r="Z22" s="12">
        <v>2</v>
      </c>
      <c r="AA22" s="13">
        <v>2</v>
      </c>
      <c r="AB22" s="12">
        <v>2</v>
      </c>
      <c r="AC22" s="13">
        <v>2</v>
      </c>
      <c r="AD22" s="12">
        <v>2</v>
      </c>
      <c r="AE22" s="8"/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0">
        <f t="shared" si="7"/>
        <v>0</v>
      </c>
    </row>
    <row r="23" spans="1:43" x14ac:dyDescent="0.25">
      <c r="A23" t="s">
        <v>33</v>
      </c>
      <c r="B23" s="4"/>
      <c r="C23" s="11" t="s">
        <v>42</v>
      </c>
      <c r="D23" s="12">
        <v>0</v>
      </c>
      <c r="E23" s="13">
        <v>2</v>
      </c>
      <c r="F23" s="12">
        <v>10</v>
      </c>
      <c r="G23" s="13">
        <v>5</v>
      </c>
      <c r="H23" s="12">
        <v>5</v>
      </c>
      <c r="I23" s="13">
        <v>10</v>
      </c>
      <c r="J23" s="12">
        <v>10</v>
      </c>
      <c r="K23" s="8">
        <f>(2910+1315+125+135)*1.03</f>
        <v>4619.55</v>
      </c>
      <c r="L23" s="1">
        <v>0</v>
      </c>
      <c r="M23" s="1">
        <v>0</v>
      </c>
      <c r="N23" s="1">
        <v>33</v>
      </c>
      <c r="O23" s="1">
        <v>5.5</v>
      </c>
      <c r="P23" s="1">
        <v>7</v>
      </c>
      <c r="Q23" s="1">
        <v>33</v>
      </c>
      <c r="R23" s="1">
        <v>8</v>
      </c>
      <c r="S23" s="10">
        <f t="shared" si="6"/>
        <v>86.5</v>
      </c>
      <c r="U23" t="s">
        <v>33</v>
      </c>
      <c r="V23" s="4"/>
      <c r="W23" s="11" t="s">
        <v>42</v>
      </c>
      <c r="X23" s="12">
        <v>0</v>
      </c>
      <c r="Y23" s="13">
        <v>2</v>
      </c>
      <c r="Z23" s="12">
        <v>10</v>
      </c>
      <c r="AA23" s="13">
        <v>8</v>
      </c>
      <c r="AB23" s="12">
        <v>9</v>
      </c>
      <c r="AC23" s="13">
        <v>10</v>
      </c>
      <c r="AD23" s="12">
        <v>10</v>
      </c>
      <c r="AE23" s="8">
        <f>(2910+1315+275+145)*1.03</f>
        <v>4784.3500000000004</v>
      </c>
      <c r="AF23" s="1">
        <v>0</v>
      </c>
      <c r="AG23" s="1">
        <v>0</v>
      </c>
      <c r="AH23" s="1">
        <v>33</v>
      </c>
      <c r="AI23" s="1">
        <v>15</v>
      </c>
      <c r="AJ23" s="1">
        <v>23</v>
      </c>
      <c r="AK23" s="1">
        <v>33</v>
      </c>
      <c r="AL23" s="1">
        <v>8</v>
      </c>
      <c r="AM23" s="10">
        <f t="shared" si="7"/>
        <v>112</v>
      </c>
    </row>
    <row r="24" spans="1:43" x14ac:dyDescent="0.25">
      <c r="A24" t="s">
        <v>34</v>
      </c>
      <c r="B24" s="4"/>
      <c r="C24" s="11" t="s">
        <v>73</v>
      </c>
      <c r="D24" s="12">
        <v>0</v>
      </c>
      <c r="E24" s="13">
        <v>2</v>
      </c>
      <c r="F24" s="12">
        <v>10</v>
      </c>
      <c r="G24" s="13">
        <v>5</v>
      </c>
      <c r="H24" s="12">
        <v>5</v>
      </c>
      <c r="I24" s="13">
        <v>10</v>
      </c>
      <c r="J24" s="12">
        <v>10</v>
      </c>
      <c r="K24" s="8">
        <f t="shared" ref="K24:K25" si="8">(2910+1315+125+135)*1.03</f>
        <v>4619.55</v>
      </c>
      <c r="L24" s="1">
        <v>0</v>
      </c>
      <c r="M24" s="1">
        <v>0</v>
      </c>
      <c r="N24" s="1">
        <v>33</v>
      </c>
      <c r="O24" s="1">
        <v>5.5</v>
      </c>
      <c r="P24" s="1">
        <v>7</v>
      </c>
      <c r="Q24" s="1">
        <v>33</v>
      </c>
      <c r="R24" s="1">
        <v>8</v>
      </c>
      <c r="S24" s="10">
        <f>SUM(L24:R24)</f>
        <v>86.5</v>
      </c>
      <c r="U24" t="s">
        <v>34</v>
      </c>
      <c r="V24" s="4"/>
      <c r="W24" s="11" t="s">
        <v>73</v>
      </c>
      <c r="X24" s="12">
        <v>0</v>
      </c>
      <c r="Y24" s="13">
        <v>2</v>
      </c>
      <c r="Z24" s="12">
        <v>10</v>
      </c>
      <c r="AA24" s="13">
        <v>8</v>
      </c>
      <c r="AB24" s="12">
        <v>9</v>
      </c>
      <c r="AC24" s="13">
        <v>10</v>
      </c>
      <c r="AD24" s="12">
        <v>10</v>
      </c>
      <c r="AE24" s="8">
        <f t="shared" ref="AE24:AE25" si="9">(2910+1315+275+145)*1.03</f>
        <v>4784.3500000000004</v>
      </c>
      <c r="AF24" s="1">
        <v>0</v>
      </c>
      <c r="AG24" s="1">
        <v>0</v>
      </c>
      <c r="AH24" s="1">
        <v>33</v>
      </c>
      <c r="AI24" s="1">
        <v>15</v>
      </c>
      <c r="AJ24" s="1">
        <v>23</v>
      </c>
      <c r="AK24" s="1">
        <v>33</v>
      </c>
      <c r="AL24" s="1">
        <v>8</v>
      </c>
      <c r="AM24" s="10">
        <f>SUM(AF24:AL24)</f>
        <v>112</v>
      </c>
    </row>
    <row r="25" spans="1:43" x14ac:dyDescent="0.25">
      <c r="A25" t="s">
        <v>35</v>
      </c>
      <c r="B25" s="4"/>
      <c r="C25" s="11" t="s">
        <v>42</v>
      </c>
      <c r="D25" s="12">
        <v>0</v>
      </c>
      <c r="E25" s="13">
        <v>2</v>
      </c>
      <c r="F25" s="12">
        <v>10</v>
      </c>
      <c r="G25" s="13">
        <v>5</v>
      </c>
      <c r="H25" s="12">
        <v>5</v>
      </c>
      <c r="I25" s="13">
        <v>10</v>
      </c>
      <c r="J25" s="12">
        <v>10</v>
      </c>
      <c r="K25" s="8">
        <f t="shared" si="8"/>
        <v>4619.55</v>
      </c>
      <c r="L25" s="1">
        <v>0</v>
      </c>
      <c r="M25" s="1">
        <v>0</v>
      </c>
      <c r="N25" s="1">
        <v>33</v>
      </c>
      <c r="O25" s="1">
        <v>5.5</v>
      </c>
      <c r="P25" s="1">
        <v>7</v>
      </c>
      <c r="Q25" s="1">
        <v>33</v>
      </c>
      <c r="R25" s="1">
        <v>8</v>
      </c>
      <c r="S25" s="10">
        <f>SUM(L25:R25)</f>
        <v>86.5</v>
      </c>
      <c r="U25" t="s">
        <v>35</v>
      </c>
      <c r="V25" s="4"/>
      <c r="W25" s="11" t="s">
        <v>42</v>
      </c>
      <c r="X25" s="12">
        <v>0</v>
      </c>
      <c r="Y25" s="13">
        <v>2</v>
      </c>
      <c r="Z25" s="12">
        <v>10</v>
      </c>
      <c r="AA25" s="13">
        <v>8</v>
      </c>
      <c r="AB25" s="12">
        <v>9</v>
      </c>
      <c r="AC25" s="13">
        <v>10</v>
      </c>
      <c r="AD25" s="12">
        <v>10</v>
      </c>
      <c r="AE25" s="8">
        <f t="shared" si="9"/>
        <v>4784.3500000000004</v>
      </c>
      <c r="AF25" s="1">
        <v>0</v>
      </c>
      <c r="AG25" s="1">
        <v>0</v>
      </c>
      <c r="AH25" s="1">
        <v>33</v>
      </c>
      <c r="AI25" s="1">
        <v>15</v>
      </c>
      <c r="AJ25" s="1">
        <v>23</v>
      </c>
      <c r="AK25" s="1">
        <v>33</v>
      </c>
      <c r="AL25" s="1">
        <v>8</v>
      </c>
      <c r="AM25" s="10">
        <f>SUM(AF25:AL25)</f>
        <v>112</v>
      </c>
    </row>
    <row r="26" spans="1:43" x14ac:dyDescent="0.25">
      <c r="A26" t="s">
        <v>37</v>
      </c>
      <c r="B26" s="4"/>
      <c r="C26" s="11"/>
      <c r="D26" s="12">
        <v>0</v>
      </c>
      <c r="E26" s="13">
        <v>2</v>
      </c>
      <c r="F26" s="12">
        <v>2</v>
      </c>
      <c r="G26" s="13">
        <v>2</v>
      </c>
      <c r="H26" s="12">
        <v>2</v>
      </c>
      <c r="I26" s="13">
        <v>2</v>
      </c>
      <c r="J26" s="12">
        <v>2</v>
      </c>
      <c r="K26" s="8"/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0">
        <f t="shared" ref="S26:S27" si="10">SUM(L26:R26)</f>
        <v>0</v>
      </c>
      <c r="U26" t="s">
        <v>37</v>
      </c>
      <c r="V26" s="4"/>
      <c r="W26" s="11"/>
      <c r="X26" s="12">
        <v>0</v>
      </c>
      <c r="Y26" s="13">
        <v>2</v>
      </c>
      <c r="Z26" s="12">
        <v>2</v>
      </c>
      <c r="AA26" s="13">
        <v>2</v>
      </c>
      <c r="AB26" s="12">
        <v>2</v>
      </c>
      <c r="AC26" s="13">
        <v>2</v>
      </c>
      <c r="AD26" s="12">
        <v>2</v>
      </c>
      <c r="AE26" s="8"/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0">
        <f t="shared" ref="AM26:AM27" si="11">SUM(AF26:AL26)</f>
        <v>0</v>
      </c>
    </row>
    <row r="27" spans="1:43" x14ac:dyDescent="0.25">
      <c r="A27" t="s">
        <v>121</v>
      </c>
      <c r="B27" s="4"/>
      <c r="C27" s="11"/>
      <c r="D27" s="12">
        <v>0</v>
      </c>
      <c r="E27" s="13">
        <v>2</v>
      </c>
      <c r="F27" s="12">
        <v>2</v>
      </c>
      <c r="G27" s="13">
        <v>2</v>
      </c>
      <c r="H27" s="12">
        <v>2</v>
      </c>
      <c r="I27" s="13">
        <v>2</v>
      </c>
      <c r="J27" s="12">
        <v>2</v>
      </c>
      <c r="K27" s="8"/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0">
        <f t="shared" si="10"/>
        <v>0</v>
      </c>
      <c r="U27" t="s">
        <v>121</v>
      </c>
      <c r="V27" s="4"/>
      <c r="W27" s="11"/>
      <c r="X27" s="12">
        <v>0</v>
      </c>
      <c r="Y27" s="13">
        <v>2</v>
      </c>
      <c r="Z27" s="12">
        <v>2</v>
      </c>
      <c r="AA27" s="13">
        <v>2</v>
      </c>
      <c r="AB27" s="12">
        <v>2</v>
      </c>
      <c r="AC27" s="13">
        <v>2</v>
      </c>
      <c r="AD27" s="12">
        <v>2</v>
      </c>
      <c r="AE27" s="8"/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0">
        <f t="shared" si="11"/>
        <v>0</v>
      </c>
    </row>
    <row r="28" spans="1:43" x14ac:dyDescent="0.25">
      <c r="D28" s="1"/>
      <c r="E28" s="1"/>
      <c r="F28" s="1"/>
      <c r="G28" s="1"/>
      <c r="H28" s="1"/>
      <c r="I28" s="1"/>
      <c r="J28" s="1"/>
      <c r="K28" s="2">
        <f>SUM(K30:K44)</f>
        <v>28103.549999999996</v>
      </c>
      <c r="L28" s="1"/>
      <c r="M28" s="1"/>
      <c r="N28" s="1"/>
      <c r="O28" s="1"/>
      <c r="P28" s="1"/>
      <c r="Q28" s="1"/>
      <c r="R28" s="1"/>
      <c r="S28" s="1"/>
      <c r="X28" s="1"/>
      <c r="Y28" s="1"/>
      <c r="Z28" s="1"/>
      <c r="AA28" s="1"/>
      <c r="AB28" s="1"/>
      <c r="AC28" s="1"/>
      <c r="AD28" s="1"/>
      <c r="AE28" s="2">
        <f>SUM(AE30:AE44)</f>
        <v>63700.350000000006</v>
      </c>
      <c r="AF28" s="1"/>
      <c r="AG28" s="1"/>
      <c r="AH28" s="1"/>
      <c r="AI28" s="1"/>
      <c r="AJ28" s="1"/>
      <c r="AK28" s="1"/>
      <c r="AL28" s="1"/>
      <c r="AM28" s="1"/>
    </row>
    <row r="29" spans="1:43" x14ac:dyDescent="0.25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</v>
      </c>
      <c r="K29" s="3" t="s">
        <v>10</v>
      </c>
      <c r="L29" s="3" t="s">
        <v>11</v>
      </c>
      <c r="M29" s="3" t="s">
        <v>12</v>
      </c>
      <c r="N29" s="3" t="s">
        <v>13</v>
      </c>
      <c r="O29" s="3" t="s">
        <v>14</v>
      </c>
      <c r="P29" s="3" t="s">
        <v>15</v>
      </c>
      <c r="Q29" s="3" t="s">
        <v>16</v>
      </c>
      <c r="R29" s="3" t="s">
        <v>17</v>
      </c>
      <c r="S29" s="3" t="s">
        <v>18</v>
      </c>
      <c r="U29" s="3" t="s">
        <v>0</v>
      </c>
      <c r="V29" s="3" t="s">
        <v>1</v>
      </c>
      <c r="W29" s="3" t="s">
        <v>2</v>
      </c>
      <c r="X29" s="3" t="s">
        <v>3</v>
      </c>
      <c r="Y29" s="3" t="s">
        <v>4</v>
      </c>
      <c r="Z29" s="3" t="s">
        <v>5</v>
      </c>
      <c r="AA29" s="3" t="s">
        <v>6</v>
      </c>
      <c r="AB29" s="3" t="s">
        <v>7</v>
      </c>
      <c r="AC29" s="3" t="s">
        <v>8</v>
      </c>
      <c r="AD29" s="3" t="s">
        <v>9</v>
      </c>
      <c r="AE29" s="3" t="s">
        <v>10</v>
      </c>
      <c r="AF29" s="3" t="s">
        <v>11</v>
      </c>
      <c r="AG29" s="3" t="s">
        <v>12</v>
      </c>
      <c r="AH29" s="3" t="s">
        <v>13</v>
      </c>
      <c r="AI29" s="3" t="s">
        <v>14</v>
      </c>
      <c r="AJ29" s="3" t="s">
        <v>15</v>
      </c>
      <c r="AK29" s="3" t="s">
        <v>16</v>
      </c>
      <c r="AL29" s="3" t="s">
        <v>17</v>
      </c>
      <c r="AM29" s="3" t="s">
        <v>18</v>
      </c>
    </row>
    <row r="30" spans="1:43" x14ac:dyDescent="0.25">
      <c r="A30" t="s">
        <v>19</v>
      </c>
      <c r="B30" s="4"/>
      <c r="C30" s="5"/>
      <c r="D30" s="6">
        <v>2</v>
      </c>
      <c r="E30" s="7">
        <v>2</v>
      </c>
      <c r="F30" s="6">
        <v>0</v>
      </c>
      <c r="G30" s="7">
        <v>0</v>
      </c>
      <c r="H30" s="6">
        <v>0</v>
      </c>
      <c r="I30" s="7">
        <v>0</v>
      </c>
      <c r="J30" s="6">
        <v>2</v>
      </c>
      <c r="K30" s="8"/>
      <c r="L30" s="1">
        <v>0</v>
      </c>
      <c r="M30" s="1">
        <v>0</v>
      </c>
      <c r="N30" s="1">
        <v>0</v>
      </c>
      <c r="O30" s="9">
        <v>0</v>
      </c>
      <c r="P30" s="9">
        <v>0</v>
      </c>
      <c r="Q30" s="9">
        <v>0</v>
      </c>
      <c r="R30" s="9">
        <v>0</v>
      </c>
      <c r="S30" s="10">
        <f>SUM(L30:R30)</f>
        <v>0</v>
      </c>
      <c r="U30" t="s">
        <v>19</v>
      </c>
      <c r="V30" s="4"/>
      <c r="W30" s="5"/>
      <c r="X30" s="6">
        <v>2</v>
      </c>
      <c r="Y30" s="7">
        <v>2</v>
      </c>
      <c r="Z30" s="6">
        <v>0</v>
      </c>
      <c r="AA30" s="7">
        <v>0</v>
      </c>
      <c r="AB30" s="6">
        <v>0</v>
      </c>
      <c r="AC30" s="7">
        <v>0</v>
      </c>
      <c r="AD30" s="6">
        <v>2</v>
      </c>
      <c r="AE30" s="8"/>
      <c r="AF30" s="1">
        <v>0</v>
      </c>
      <c r="AG30" s="1">
        <v>0</v>
      </c>
      <c r="AH30" s="1">
        <v>0</v>
      </c>
      <c r="AI30" s="9">
        <v>0</v>
      </c>
      <c r="AJ30" s="9">
        <v>0</v>
      </c>
      <c r="AK30" s="9">
        <v>0</v>
      </c>
      <c r="AL30" s="9">
        <v>0</v>
      </c>
      <c r="AM30" s="10">
        <f>SUM(AF30:AL30)</f>
        <v>0</v>
      </c>
      <c r="AO30" s="26" t="s">
        <v>83</v>
      </c>
      <c r="AP30" s="26" t="s">
        <v>84</v>
      </c>
    </row>
    <row r="31" spans="1:43" x14ac:dyDescent="0.25">
      <c r="A31" t="s">
        <v>21</v>
      </c>
      <c r="B31" s="4"/>
      <c r="C31" s="11"/>
      <c r="D31" s="12">
        <v>0</v>
      </c>
      <c r="E31" s="13">
        <v>2</v>
      </c>
      <c r="F31" s="12">
        <v>2</v>
      </c>
      <c r="G31" s="13">
        <v>2</v>
      </c>
      <c r="H31" s="12">
        <v>2</v>
      </c>
      <c r="I31" s="13">
        <v>2</v>
      </c>
      <c r="J31" s="12">
        <v>2</v>
      </c>
      <c r="K31" s="8"/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0">
        <f t="shared" ref="S31" si="12">SUM(L31:R31)</f>
        <v>0</v>
      </c>
      <c r="U31" t="s">
        <v>21</v>
      </c>
      <c r="V31" s="4"/>
      <c r="W31" s="11"/>
      <c r="X31" s="12">
        <v>0</v>
      </c>
      <c r="Y31" s="13">
        <v>2</v>
      </c>
      <c r="Z31" s="12">
        <v>2</v>
      </c>
      <c r="AA31" s="13">
        <v>2</v>
      </c>
      <c r="AB31" s="12">
        <v>2</v>
      </c>
      <c r="AC31" s="13">
        <v>2</v>
      </c>
      <c r="AD31" s="12">
        <v>2</v>
      </c>
      <c r="AE31" s="8"/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0">
        <f t="shared" ref="AM31" si="13">SUM(AF31:AL31)</f>
        <v>0</v>
      </c>
      <c r="AO31" s="26">
        <f>112-86.5</f>
        <v>25.5</v>
      </c>
      <c r="AP31" s="27">
        <f>AO31/16</f>
        <v>1.59375</v>
      </c>
      <c r="AQ31" t="s">
        <v>86</v>
      </c>
    </row>
    <row r="32" spans="1:43" x14ac:dyDescent="0.25">
      <c r="A32" t="s">
        <v>23</v>
      </c>
      <c r="B32" s="4"/>
      <c r="C32" s="11"/>
      <c r="D32" s="12">
        <v>0</v>
      </c>
      <c r="E32" s="13">
        <v>2</v>
      </c>
      <c r="F32" s="12">
        <v>2</v>
      </c>
      <c r="G32" s="13">
        <v>2</v>
      </c>
      <c r="H32" s="12">
        <v>2</v>
      </c>
      <c r="I32" s="13">
        <v>2</v>
      </c>
      <c r="J32" s="12">
        <v>2</v>
      </c>
      <c r="K32" s="8"/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0">
        <f>SUM(L32:R32)</f>
        <v>0</v>
      </c>
      <c r="U32" t="s">
        <v>23</v>
      </c>
      <c r="V32" s="4"/>
      <c r="W32" s="11"/>
      <c r="X32" s="12">
        <v>0</v>
      </c>
      <c r="Y32" s="13">
        <v>2</v>
      </c>
      <c r="Z32" s="12">
        <v>2</v>
      </c>
      <c r="AA32" s="13">
        <v>2</v>
      </c>
      <c r="AB32" s="12">
        <v>2</v>
      </c>
      <c r="AC32" s="13">
        <v>2</v>
      </c>
      <c r="AD32" s="12">
        <v>2</v>
      </c>
      <c r="AE32" s="8"/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0">
        <f>SUM(AF32:AL32)</f>
        <v>0</v>
      </c>
    </row>
    <row r="33" spans="1:43" x14ac:dyDescent="0.25">
      <c r="A33" t="s">
        <v>24</v>
      </c>
      <c r="B33" s="4"/>
      <c r="C33" s="11"/>
      <c r="D33" s="12">
        <v>0</v>
      </c>
      <c r="E33" s="13">
        <v>2</v>
      </c>
      <c r="F33" s="12">
        <v>2</v>
      </c>
      <c r="G33" s="13">
        <v>2</v>
      </c>
      <c r="H33" s="12">
        <v>2</v>
      </c>
      <c r="I33" s="13">
        <v>2</v>
      </c>
      <c r="J33" s="12">
        <v>2</v>
      </c>
      <c r="K33" s="8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0">
        <f>SUM(L33:R33)</f>
        <v>0</v>
      </c>
      <c r="U33" t="s">
        <v>24</v>
      </c>
      <c r="V33" s="4"/>
      <c r="W33" s="11"/>
      <c r="X33" s="12">
        <v>0</v>
      </c>
      <c r="Y33" s="13">
        <v>2</v>
      </c>
      <c r="Z33" s="12">
        <v>2</v>
      </c>
      <c r="AA33" s="13">
        <v>2</v>
      </c>
      <c r="AB33" s="12">
        <v>2</v>
      </c>
      <c r="AC33" s="13">
        <v>2</v>
      </c>
      <c r="AD33" s="12">
        <v>2</v>
      </c>
      <c r="AE33" s="8"/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0">
        <f>SUM(AF33:AL33)</f>
        <v>0</v>
      </c>
    </row>
    <row r="34" spans="1:43" x14ac:dyDescent="0.25">
      <c r="A34" t="s">
        <v>25</v>
      </c>
      <c r="B34" s="4"/>
      <c r="C34" s="11"/>
      <c r="D34" s="12">
        <v>0</v>
      </c>
      <c r="E34" s="13">
        <v>2</v>
      </c>
      <c r="F34" s="12">
        <v>2</v>
      </c>
      <c r="G34" s="13">
        <v>2</v>
      </c>
      <c r="H34" s="12">
        <v>2</v>
      </c>
      <c r="I34" s="13">
        <v>2</v>
      </c>
      <c r="J34" s="12">
        <v>2</v>
      </c>
      <c r="K34" s="8"/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0">
        <f t="shared" ref="S34:S41" si="14">SUM(L34:R34)</f>
        <v>0</v>
      </c>
      <c r="U34" t="s">
        <v>25</v>
      </c>
      <c r="V34" s="4"/>
      <c r="W34" s="11"/>
      <c r="X34" s="12">
        <v>0</v>
      </c>
      <c r="Y34" s="13">
        <v>2</v>
      </c>
      <c r="Z34" s="12">
        <v>2</v>
      </c>
      <c r="AA34" s="13">
        <v>2</v>
      </c>
      <c r="AB34" s="12">
        <v>2</v>
      </c>
      <c r="AC34" s="13">
        <v>2</v>
      </c>
      <c r="AD34" s="12">
        <v>2</v>
      </c>
      <c r="AE34" s="8"/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0">
        <f t="shared" ref="AM34:AM41" si="15">SUM(AF34:AL34)</f>
        <v>0</v>
      </c>
    </row>
    <row r="35" spans="1:43" x14ac:dyDescent="0.25">
      <c r="A35" t="s">
        <v>26</v>
      </c>
      <c r="B35" s="4"/>
      <c r="C35" s="11"/>
      <c r="D35" s="12">
        <v>0</v>
      </c>
      <c r="E35" s="13">
        <v>2</v>
      </c>
      <c r="F35" s="12">
        <v>2</v>
      </c>
      <c r="G35" s="13">
        <v>2</v>
      </c>
      <c r="H35" s="12">
        <v>2</v>
      </c>
      <c r="I35" s="13">
        <v>2</v>
      </c>
      <c r="J35" s="12">
        <v>2</v>
      </c>
      <c r="K35" s="8"/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0">
        <f t="shared" si="14"/>
        <v>0</v>
      </c>
      <c r="U35" t="s">
        <v>26</v>
      </c>
      <c r="V35" s="4"/>
      <c r="W35" s="11"/>
      <c r="X35" s="12">
        <v>0</v>
      </c>
      <c r="Y35" s="13">
        <v>2</v>
      </c>
      <c r="Z35" s="12">
        <v>2</v>
      </c>
      <c r="AA35" s="13">
        <v>2</v>
      </c>
      <c r="AB35" s="12">
        <v>2</v>
      </c>
      <c r="AC35" s="13">
        <v>2</v>
      </c>
      <c r="AD35" s="12">
        <v>2</v>
      </c>
      <c r="AE35" s="8"/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0">
        <f t="shared" si="15"/>
        <v>0</v>
      </c>
    </row>
    <row r="36" spans="1:43" x14ac:dyDescent="0.25">
      <c r="A36" t="s">
        <v>27</v>
      </c>
      <c r="B36" s="4"/>
      <c r="C36" s="11"/>
      <c r="D36" s="12">
        <v>0</v>
      </c>
      <c r="E36" s="13">
        <v>2</v>
      </c>
      <c r="F36" s="12">
        <v>2</v>
      </c>
      <c r="G36" s="13">
        <v>2</v>
      </c>
      <c r="H36" s="12">
        <v>2</v>
      </c>
      <c r="I36" s="13">
        <v>2</v>
      </c>
      <c r="J36" s="12">
        <v>2</v>
      </c>
      <c r="K36" s="8"/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0">
        <f t="shared" si="14"/>
        <v>0</v>
      </c>
      <c r="U36" t="s">
        <v>27</v>
      </c>
      <c r="V36" s="4"/>
      <c r="W36" s="11"/>
      <c r="X36" s="12">
        <v>0</v>
      </c>
      <c r="Y36" s="13">
        <v>2</v>
      </c>
      <c r="Z36" s="12">
        <v>2</v>
      </c>
      <c r="AA36" s="13">
        <v>2</v>
      </c>
      <c r="AB36" s="12">
        <v>2</v>
      </c>
      <c r="AC36" s="13">
        <v>2</v>
      </c>
      <c r="AD36" s="12">
        <v>2</v>
      </c>
      <c r="AE36" s="8"/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0">
        <f t="shared" si="15"/>
        <v>0</v>
      </c>
    </row>
    <row r="37" spans="1:43" x14ac:dyDescent="0.25">
      <c r="A37" t="s">
        <v>28</v>
      </c>
      <c r="B37" s="4" t="s">
        <v>30</v>
      </c>
      <c r="C37" s="11" t="s">
        <v>50</v>
      </c>
      <c r="D37" s="12">
        <v>0</v>
      </c>
      <c r="E37" s="13">
        <v>7</v>
      </c>
      <c r="F37" s="12">
        <v>10</v>
      </c>
      <c r="G37" s="13">
        <v>2</v>
      </c>
      <c r="H37" s="12">
        <v>2</v>
      </c>
      <c r="I37" s="13">
        <v>10</v>
      </c>
      <c r="J37" s="12">
        <v>10</v>
      </c>
      <c r="K37" s="8">
        <f>(2910+225+1315)*1.03</f>
        <v>4583.5</v>
      </c>
      <c r="L37" s="1">
        <v>0</v>
      </c>
      <c r="M37" s="1">
        <v>18</v>
      </c>
      <c r="N37" s="1">
        <v>33</v>
      </c>
      <c r="O37" s="1">
        <v>0</v>
      </c>
      <c r="P37" s="1">
        <v>0</v>
      </c>
      <c r="Q37" s="1">
        <v>33</v>
      </c>
      <c r="R37" s="1">
        <v>8</v>
      </c>
      <c r="S37" s="10">
        <f t="shared" si="14"/>
        <v>92</v>
      </c>
      <c r="U37" t="s">
        <v>28</v>
      </c>
      <c r="V37" s="4" t="s">
        <v>30</v>
      </c>
      <c r="W37" s="11" t="s">
        <v>50</v>
      </c>
      <c r="X37" s="12">
        <v>0</v>
      </c>
      <c r="Y37" s="13">
        <v>7</v>
      </c>
      <c r="Z37" s="12">
        <v>12</v>
      </c>
      <c r="AA37" s="13">
        <v>2</v>
      </c>
      <c r="AB37" s="12">
        <v>2</v>
      </c>
      <c r="AC37" s="13">
        <v>10</v>
      </c>
      <c r="AD37" s="12">
        <v>10</v>
      </c>
      <c r="AE37" s="8">
        <f>(8670+225+1315)*1.03</f>
        <v>10516.300000000001</v>
      </c>
      <c r="AF37" s="1">
        <v>0</v>
      </c>
      <c r="AG37" s="1">
        <v>18</v>
      </c>
      <c r="AH37" s="1">
        <v>48</v>
      </c>
      <c r="AI37" s="1">
        <v>0</v>
      </c>
      <c r="AJ37" s="1">
        <v>0</v>
      </c>
      <c r="AK37" s="1">
        <v>33</v>
      </c>
      <c r="AL37" s="1">
        <v>8</v>
      </c>
      <c r="AM37" s="10">
        <f t="shared" si="15"/>
        <v>107</v>
      </c>
    </row>
    <row r="38" spans="1:43" x14ac:dyDescent="0.25">
      <c r="A38" t="s">
        <v>29</v>
      </c>
      <c r="B38" s="4" t="s">
        <v>30</v>
      </c>
      <c r="C38" s="11" t="s">
        <v>50</v>
      </c>
      <c r="D38" s="12">
        <v>0</v>
      </c>
      <c r="E38" s="13">
        <v>7</v>
      </c>
      <c r="F38" s="12">
        <v>10</v>
      </c>
      <c r="G38" s="13">
        <v>2</v>
      </c>
      <c r="H38" s="12">
        <v>2</v>
      </c>
      <c r="I38" s="13">
        <v>10</v>
      </c>
      <c r="J38" s="12">
        <v>10</v>
      </c>
      <c r="K38" s="8">
        <f>(2910+225+1315)*1.03</f>
        <v>4583.5</v>
      </c>
      <c r="L38" s="1">
        <v>0</v>
      </c>
      <c r="M38" s="1">
        <v>18</v>
      </c>
      <c r="N38" s="1">
        <v>33</v>
      </c>
      <c r="O38" s="1">
        <v>0</v>
      </c>
      <c r="P38" s="1">
        <v>0</v>
      </c>
      <c r="Q38" s="1">
        <v>33</v>
      </c>
      <c r="R38" s="1">
        <v>8</v>
      </c>
      <c r="S38" s="10">
        <f t="shared" si="14"/>
        <v>92</v>
      </c>
      <c r="U38" t="s">
        <v>29</v>
      </c>
      <c r="V38" s="4" t="s">
        <v>30</v>
      </c>
      <c r="W38" s="11" t="s">
        <v>50</v>
      </c>
      <c r="X38" s="12">
        <v>0</v>
      </c>
      <c r="Y38" s="13">
        <v>7</v>
      </c>
      <c r="Z38" s="12">
        <v>12</v>
      </c>
      <c r="AA38" s="13">
        <v>2</v>
      </c>
      <c r="AB38" s="12">
        <v>2</v>
      </c>
      <c r="AC38" s="13">
        <v>10</v>
      </c>
      <c r="AD38" s="12">
        <v>10</v>
      </c>
      <c r="AE38" s="8">
        <f>(8670+225+1315)*1.03</f>
        <v>10516.300000000001</v>
      </c>
      <c r="AF38" s="1">
        <v>0</v>
      </c>
      <c r="AG38" s="1">
        <v>18</v>
      </c>
      <c r="AH38" s="1">
        <v>48</v>
      </c>
      <c r="AI38" s="1">
        <v>0</v>
      </c>
      <c r="AJ38" s="1">
        <v>0</v>
      </c>
      <c r="AK38" s="1">
        <v>33</v>
      </c>
      <c r="AL38" s="1">
        <v>8</v>
      </c>
      <c r="AM38" s="10">
        <f t="shared" si="15"/>
        <v>107</v>
      </c>
    </row>
    <row r="39" spans="1:43" x14ac:dyDescent="0.25">
      <c r="A39" t="s">
        <v>72</v>
      </c>
      <c r="B39" s="4"/>
      <c r="C39" s="11"/>
      <c r="D39" s="12">
        <v>0</v>
      </c>
      <c r="E39" s="13">
        <v>2</v>
      </c>
      <c r="F39" s="12">
        <v>2</v>
      </c>
      <c r="G39" s="13">
        <v>2</v>
      </c>
      <c r="H39" s="12">
        <v>2</v>
      </c>
      <c r="I39" s="13">
        <v>2</v>
      </c>
      <c r="J39" s="12">
        <v>2</v>
      </c>
      <c r="K39" s="8"/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0">
        <f t="shared" si="14"/>
        <v>0</v>
      </c>
      <c r="U39" t="s">
        <v>72</v>
      </c>
      <c r="V39" s="4"/>
      <c r="W39" s="11"/>
      <c r="X39" s="12">
        <v>0</v>
      </c>
      <c r="Y39" s="13">
        <v>2</v>
      </c>
      <c r="Z39" s="12">
        <v>2</v>
      </c>
      <c r="AA39" s="13">
        <v>2</v>
      </c>
      <c r="AB39" s="12">
        <v>2</v>
      </c>
      <c r="AC39" s="13">
        <v>2</v>
      </c>
      <c r="AD39" s="12">
        <v>2</v>
      </c>
      <c r="AE39" s="8"/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0">
        <f t="shared" si="15"/>
        <v>0</v>
      </c>
    </row>
    <row r="40" spans="1:43" x14ac:dyDescent="0.25">
      <c r="A40" t="s">
        <v>31</v>
      </c>
      <c r="B40" s="4" t="s">
        <v>30</v>
      </c>
      <c r="C40" s="11" t="s">
        <v>50</v>
      </c>
      <c r="D40" s="12">
        <v>0</v>
      </c>
      <c r="E40" s="13">
        <v>7</v>
      </c>
      <c r="F40" s="12">
        <v>10</v>
      </c>
      <c r="G40" s="13">
        <v>2</v>
      </c>
      <c r="H40" s="12">
        <v>2</v>
      </c>
      <c r="I40" s="13">
        <v>10</v>
      </c>
      <c r="J40" s="12">
        <v>10</v>
      </c>
      <c r="K40" s="8">
        <f>(2910+225+1315)*1.03</f>
        <v>4583.5</v>
      </c>
      <c r="L40" s="1">
        <v>0</v>
      </c>
      <c r="M40" s="1">
        <v>18</v>
      </c>
      <c r="N40" s="1">
        <v>33</v>
      </c>
      <c r="O40" s="1">
        <v>0</v>
      </c>
      <c r="P40" s="1">
        <v>0</v>
      </c>
      <c r="Q40" s="1">
        <v>33</v>
      </c>
      <c r="R40" s="1">
        <v>8</v>
      </c>
      <c r="S40" s="10">
        <f t="shared" si="14"/>
        <v>92</v>
      </c>
      <c r="U40" t="s">
        <v>31</v>
      </c>
      <c r="V40" s="4" t="s">
        <v>30</v>
      </c>
      <c r="W40" s="11" t="s">
        <v>50</v>
      </c>
      <c r="X40" s="12">
        <v>0</v>
      </c>
      <c r="Y40" s="13">
        <v>7</v>
      </c>
      <c r="Z40" s="12">
        <v>12</v>
      </c>
      <c r="AA40" s="13">
        <v>2</v>
      </c>
      <c r="AB40" s="12">
        <v>2</v>
      </c>
      <c r="AC40" s="13">
        <v>10</v>
      </c>
      <c r="AD40" s="12">
        <v>10</v>
      </c>
      <c r="AE40" s="8">
        <f>(8670+225+1315)*1.03</f>
        <v>10516.300000000001</v>
      </c>
      <c r="AF40" s="1">
        <v>0</v>
      </c>
      <c r="AG40" s="1">
        <v>18</v>
      </c>
      <c r="AH40" s="1">
        <v>48</v>
      </c>
      <c r="AI40" s="1">
        <v>0</v>
      </c>
      <c r="AJ40" s="1">
        <v>0</v>
      </c>
      <c r="AK40" s="1">
        <v>33</v>
      </c>
      <c r="AL40" s="1">
        <v>8</v>
      </c>
      <c r="AM40" s="10">
        <f t="shared" si="15"/>
        <v>107</v>
      </c>
    </row>
    <row r="41" spans="1:43" x14ac:dyDescent="0.25">
      <c r="A41" t="s">
        <v>33</v>
      </c>
      <c r="B41" s="4" t="s">
        <v>32</v>
      </c>
      <c r="C41" s="11" t="s">
        <v>42</v>
      </c>
      <c r="D41" s="12">
        <v>0</v>
      </c>
      <c r="E41" s="13">
        <v>2</v>
      </c>
      <c r="F41" s="12">
        <v>10</v>
      </c>
      <c r="G41" s="13">
        <v>8</v>
      </c>
      <c r="H41" s="12">
        <v>9</v>
      </c>
      <c r="I41" s="13">
        <v>10</v>
      </c>
      <c r="J41" s="12">
        <v>10</v>
      </c>
      <c r="K41" s="8">
        <f>(2910+1315+275+145)*1.03</f>
        <v>4784.3500000000004</v>
      </c>
      <c r="L41" s="1">
        <v>0</v>
      </c>
      <c r="M41" s="1">
        <v>0</v>
      </c>
      <c r="N41" s="1">
        <v>33</v>
      </c>
      <c r="O41" s="1">
        <v>15</v>
      </c>
      <c r="P41" s="1">
        <v>23</v>
      </c>
      <c r="Q41" s="1">
        <v>33</v>
      </c>
      <c r="R41" s="1">
        <v>8</v>
      </c>
      <c r="S41" s="10">
        <f t="shared" si="14"/>
        <v>112</v>
      </c>
      <c r="U41" t="s">
        <v>33</v>
      </c>
      <c r="V41" s="4" t="s">
        <v>32</v>
      </c>
      <c r="W41" s="11" t="s">
        <v>42</v>
      </c>
      <c r="X41" s="12">
        <v>0</v>
      </c>
      <c r="Y41" s="13">
        <v>2</v>
      </c>
      <c r="Z41" s="12">
        <v>12</v>
      </c>
      <c r="AA41" s="13">
        <v>8</v>
      </c>
      <c r="AB41" s="12">
        <v>9</v>
      </c>
      <c r="AC41" s="13">
        <v>10</v>
      </c>
      <c r="AD41" s="12">
        <v>10</v>
      </c>
      <c r="AE41" s="8">
        <f>(8670+1315+275+145)*1.03</f>
        <v>10717.15</v>
      </c>
      <c r="AF41" s="1">
        <v>0</v>
      </c>
      <c r="AG41" s="1">
        <v>0</v>
      </c>
      <c r="AH41" s="1">
        <v>48</v>
      </c>
      <c r="AI41" s="1">
        <v>15</v>
      </c>
      <c r="AJ41" s="1">
        <v>23</v>
      </c>
      <c r="AK41" s="1">
        <v>33</v>
      </c>
      <c r="AL41" s="1">
        <v>8</v>
      </c>
      <c r="AM41" s="10">
        <f t="shared" si="15"/>
        <v>127</v>
      </c>
    </row>
    <row r="42" spans="1:43" x14ac:dyDescent="0.25">
      <c r="A42" t="s">
        <v>34</v>
      </c>
      <c r="B42" s="4" t="s">
        <v>32</v>
      </c>
      <c r="C42" s="11" t="s">
        <v>73</v>
      </c>
      <c r="D42" s="12">
        <v>0</v>
      </c>
      <c r="E42" s="13">
        <v>2</v>
      </c>
      <c r="F42" s="12">
        <v>10</v>
      </c>
      <c r="G42" s="13">
        <v>8</v>
      </c>
      <c r="H42" s="12">
        <v>9</v>
      </c>
      <c r="I42" s="13">
        <v>10</v>
      </c>
      <c r="J42" s="12">
        <v>10</v>
      </c>
      <c r="K42" s="8">
        <f t="shared" ref="K42:K43" si="16">(2910+1315+275+145)*1.03</f>
        <v>4784.3500000000004</v>
      </c>
      <c r="L42" s="1">
        <v>0</v>
      </c>
      <c r="M42" s="1">
        <v>0</v>
      </c>
      <c r="N42" s="1">
        <v>33</v>
      </c>
      <c r="O42" s="1">
        <v>15</v>
      </c>
      <c r="P42" s="1">
        <v>23</v>
      </c>
      <c r="Q42" s="1">
        <v>33</v>
      </c>
      <c r="R42" s="1">
        <v>8</v>
      </c>
      <c r="S42" s="10">
        <f>SUM(L42:R42)</f>
        <v>112</v>
      </c>
      <c r="U42" t="s">
        <v>34</v>
      </c>
      <c r="V42" s="4" t="s">
        <v>32</v>
      </c>
      <c r="W42" s="11" t="s">
        <v>73</v>
      </c>
      <c r="X42" s="12">
        <v>0</v>
      </c>
      <c r="Y42" s="13">
        <v>2</v>
      </c>
      <c r="Z42" s="12">
        <v>12</v>
      </c>
      <c r="AA42" s="13">
        <v>8</v>
      </c>
      <c r="AB42" s="12">
        <v>9</v>
      </c>
      <c r="AC42" s="13">
        <v>10</v>
      </c>
      <c r="AD42" s="12">
        <v>10</v>
      </c>
      <c r="AE42" s="8">
        <f t="shared" ref="AE42:AE43" si="17">(8670+1315+275+145)*1.03</f>
        <v>10717.15</v>
      </c>
      <c r="AF42" s="1">
        <v>0</v>
      </c>
      <c r="AG42" s="1">
        <v>0</v>
      </c>
      <c r="AH42" s="1">
        <v>48</v>
      </c>
      <c r="AI42" s="1">
        <v>15</v>
      </c>
      <c r="AJ42" s="1">
        <v>23</v>
      </c>
      <c r="AK42" s="1">
        <v>33</v>
      </c>
      <c r="AL42" s="1">
        <v>8</v>
      </c>
      <c r="AM42" s="10">
        <f>SUM(AF42:AL42)</f>
        <v>127</v>
      </c>
    </row>
    <row r="43" spans="1:43" x14ac:dyDescent="0.25">
      <c r="A43" t="s">
        <v>35</v>
      </c>
      <c r="B43" s="4" t="s">
        <v>32</v>
      </c>
      <c r="C43" s="11" t="s">
        <v>42</v>
      </c>
      <c r="D43" s="12">
        <v>0</v>
      </c>
      <c r="E43" s="13">
        <v>2</v>
      </c>
      <c r="F43" s="12">
        <v>10</v>
      </c>
      <c r="G43" s="13">
        <v>8</v>
      </c>
      <c r="H43" s="12">
        <v>9</v>
      </c>
      <c r="I43" s="13">
        <v>10</v>
      </c>
      <c r="J43" s="12">
        <v>10</v>
      </c>
      <c r="K43" s="8">
        <f t="shared" si="16"/>
        <v>4784.3500000000004</v>
      </c>
      <c r="L43" s="1">
        <v>0</v>
      </c>
      <c r="M43" s="1">
        <v>0</v>
      </c>
      <c r="N43" s="1">
        <v>33</v>
      </c>
      <c r="O43" s="1">
        <v>15</v>
      </c>
      <c r="P43" s="1">
        <v>23</v>
      </c>
      <c r="Q43" s="1">
        <v>33</v>
      </c>
      <c r="R43" s="1">
        <v>8</v>
      </c>
      <c r="S43" s="10">
        <f>SUM(L43:R43)</f>
        <v>112</v>
      </c>
      <c r="U43" t="s">
        <v>35</v>
      </c>
      <c r="V43" s="4" t="s">
        <v>32</v>
      </c>
      <c r="W43" s="11" t="s">
        <v>42</v>
      </c>
      <c r="X43" s="12">
        <v>0</v>
      </c>
      <c r="Y43" s="13">
        <v>2</v>
      </c>
      <c r="Z43" s="12">
        <v>12</v>
      </c>
      <c r="AA43" s="13">
        <v>8</v>
      </c>
      <c r="AB43" s="12">
        <v>9</v>
      </c>
      <c r="AC43" s="13">
        <v>10</v>
      </c>
      <c r="AD43" s="12">
        <v>10</v>
      </c>
      <c r="AE43" s="8">
        <f t="shared" si="17"/>
        <v>10717.15</v>
      </c>
      <c r="AF43" s="1">
        <v>0</v>
      </c>
      <c r="AG43" s="1">
        <v>0</v>
      </c>
      <c r="AH43" s="1">
        <v>48</v>
      </c>
      <c r="AI43" s="1">
        <v>15</v>
      </c>
      <c r="AJ43" s="1">
        <v>23</v>
      </c>
      <c r="AK43" s="1">
        <v>33</v>
      </c>
      <c r="AL43" s="1">
        <v>8</v>
      </c>
      <c r="AM43" s="10">
        <f>SUM(AF43:AL43)</f>
        <v>127</v>
      </c>
    </row>
    <row r="44" spans="1:43" x14ac:dyDescent="0.25">
      <c r="A44" t="s">
        <v>37</v>
      </c>
      <c r="B44" s="4"/>
      <c r="C44" s="11"/>
      <c r="D44" s="12">
        <v>0</v>
      </c>
      <c r="E44" s="13">
        <v>2</v>
      </c>
      <c r="F44" s="12">
        <v>2</v>
      </c>
      <c r="G44" s="13">
        <v>2</v>
      </c>
      <c r="H44" s="12">
        <v>2</v>
      </c>
      <c r="I44" s="13">
        <v>2</v>
      </c>
      <c r="J44" s="12">
        <v>2</v>
      </c>
      <c r="K44" s="8"/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0">
        <f t="shared" ref="S44:S45" si="18">SUM(L44:R44)</f>
        <v>0</v>
      </c>
      <c r="U44" t="s">
        <v>37</v>
      </c>
      <c r="V44" s="4"/>
      <c r="W44" s="11"/>
      <c r="X44" s="12">
        <v>0</v>
      </c>
      <c r="Y44" s="13">
        <v>2</v>
      </c>
      <c r="Z44" s="12">
        <v>2</v>
      </c>
      <c r="AA44" s="13">
        <v>2</v>
      </c>
      <c r="AB44" s="12">
        <v>2</v>
      </c>
      <c r="AC44" s="13">
        <v>2</v>
      </c>
      <c r="AD44" s="12">
        <v>2</v>
      </c>
      <c r="AE44" s="8"/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0">
        <f t="shared" ref="AM44:AM45" si="19">SUM(AF44:AL44)</f>
        <v>0</v>
      </c>
    </row>
    <row r="45" spans="1:43" x14ac:dyDescent="0.25">
      <c r="A45" t="s">
        <v>121</v>
      </c>
      <c r="B45" s="4"/>
      <c r="C45" s="11"/>
      <c r="D45" s="12">
        <v>0</v>
      </c>
      <c r="E45" s="13">
        <v>2</v>
      </c>
      <c r="F45" s="12">
        <v>2</v>
      </c>
      <c r="G45" s="13">
        <v>2</v>
      </c>
      <c r="H45" s="12">
        <v>2</v>
      </c>
      <c r="I45" s="13">
        <v>2</v>
      </c>
      <c r="J45" s="12">
        <v>2</v>
      </c>
      <c r="K45" s="8"/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0">
        <f t="shared" si="18"/>
        <v>0</v>
      </c>
      <c r="U45" t="s">
        <v>121</v>
      </c>
      <c r="V45" s="4"/>
      <c r="W45" s="11"/>
      <c r="X45" s="12">
        <v>0</v>
      </c>
      <c r="Y45" s="13">
        <v>2</v>
      </c>
      <c r="Z45" s="12">
        <v>2</v>
      </c>
      <c r="AA45" s="13">
        <v>2</v>
      </c>
      <c r="AB45" s="12">
        <v>2</v>
      </c>
      <c r="AC45" s="13">
        <v>2</v>
      </c>
      <c r="AD45" s="12">
        <v>2</v>
      </c>
      <c r="AE45" s="8"/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0">
        <f t="shared" si="19"/>
        <v>0</v>
      </c>
    </row>
    <row r="46" spans="1:43" x14ac:dyDescent="0.25">
      <c r="D46" s="1"/>
      <c r="E46" s="1"/>
      <c r="F46" s="1"/>
      <c r="G46" s="1"/>
      <c r="H46" s="1"/>
      <c r="I46" s="1"/>
      <c r="J46" s="1"/>
      <c r="K46" s="2">
        <f>SUM(K48:K62)</f>
        <v>81175.55</v>
      </c>
      <c r="L46" s="1"/>
      <c r="M46" s="1"/>
      <c r="N46" s="1"/>
      <c r="O46" s="1"/>
      <c r="P46" s="1"/>
      <c r="Q46" s="1"/>
      <c r="R46" s="1"/>
      <c r="S46" s="1"/>
      <c r="X46" s="1"/>
      <c r="Y46" s="1"/>
      <c r="Z46" s="1"/>
      <c r="AA46" s="1"/>
      <c r="AB46" s="1"/>
      <c r="AC46" s="1"/>
      <c r="AD46" s="1"/>
      <c r="AE46" s="2">
        <f>SUM(AE48:AE62)</f>
        <v>96195.239999999991</v>
      </c>
      <c r="AF46" s="1"/>
      <c r="AG46" s="1"/>
      <c r="AH46" s="1"/>
      <c r="AI46" s="1"/>
      <c r="AJ46" s="1"/>
      <c r="AK46" s="1"/>
      <c r="AL46" s="1"/>
      <c r="AM46" s="1"/>
    </row>
    <row r="47" spans="1:43" x14ac:dyDescent="0.25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9</v>
      </c>
      <c r="K47" s="3" t="s">
        <v>10</v>
      </c>
      <c r="L47" s="3" t="s">
        <v>11</v>
      </c>
      <c r="M47" s="3" t="s">
        <v>12</v>
      </c>
      <c r="N47" s="3" t="s">
        <v>13</v>
      </c>
      <c r="O47" s="3" t="s">
        <v>14</v>
      </c>
      <c r="P47" s="3" t="s">
        <v>15</v>
      </c>
      <c r="Q47" s="3" t="s">
        <v>16</v>
      </c>
      <c r="R47" s="3" t="s">
        <v>17</v>
      </c>
      <c r="S47" s="3" t="s">
        <v>18</v>
      </c>
      <c r="U47" s="3" t="s">
        <v>0</v>
      </c>
      <c r="V47" s="3" t="s">
        <v>1</v>
      </c>
      <c r="W47" s="3" t="s">
        <v>2</v>
      </c>
      <c r="X47" s="3" t="s">
        <v>3</v>
      </c>
      <c r="Y47" s="3" t="s">
        <v>4</v>
      </c>
      <c r="Z47" s="3" t="s">
        <v>5</v>
      </c>
      <c r="AA47" s="3" t="s">
        <v>6</v>
      </c>
      <c r="AB47" s="3" t="s">
        <v>7</v>
      </c>
      <c r="AC47" s="3" t="s">
        <v>8</v>
      </c>
      <c r="AD47" s="3" t="s">
        <v>9</v>
      </c>
      <c r="AE47" s="3" t="s">
        <v>10</v>
      </c>
      <c r="AF47" s="3" t="s">
        <v>11</v>
      </c>
      <c r="AG47" s="3" t="s">
        <v>12</v>
      </c>
      <c r="AH47" s="3" t="s">
        <v>13</v>
      </c>
      <c r="AI47" s="3" t="s">
        <v>14</v>
      </c>
      <c r="AJ47" s="3" t="s">
        <v>15</v>
      </c>
      <c r="AK47" s="3" t="s">
        <v>16</v>
      </c>
      <c r="AL47" s="3" t="s">
        <v>17</v>
      </c>
      <c r="AM47" s="3" t="s">
        <v>18</v>
      </c>
      <c r="AO47" s="26" t="s">
        <v>83</v>
      </c>
      <c r="AP47" s="26" t="s">
        <v>84</v>
      </c>
    </row>
    <row r="48" spans="1:43" x14ac:dyDescent="0.25">
      <c r="A48" t="s">
        <v>19</v>
      </c>
      <c r="B48" s="4"/>
      <c r="C48" s="5"/>
      <c r="D48" s="6">
        <v>2</v>
      </c>
      <c r="E48" s="7">
        <v>2</v>
      </c>
      <c r="F48" s="6">
        <v>0</v>
      </c>
      <c r="G48" s="7">
        <v>0</v>
      </c>
      <c r="H48" s="6">
        <v>0</v>
      </c>
      <c r="I48" s="7">
        <v>0</v>
      </c>
      <c r="J48" s="6">
        <v>2</v>
      </c>
      <c r="K48" s="8"/>
      <c r="L48" s="1">
        <v>0</v>
      </c>
      <c r="M48" s="1">
        <v>0</v>
      </c>
      <c r="N48" s="1">
        <v>0</v>
      </c>
      <c r="O48" s="9">
        <v>0</v>
      </c>
      <c r="P48" s="9">
        <v>0</v>
      </c>
      <c r="Q48" s="9">
        <v>0</v>
      </c>
      <c r="R48" s="9">
        <v>0</v>
      </c>
      <c r="S48" s="10">
        <f>SUM(L48:R48)</f>
        <v>0</v>
      </c>
      <c r="U48" t="s">
        <v>19</v>
      </c>
      <c r="V48" s="4"/>
      <c r="W48" s="5"/>
      <c r="X48" s="6">
        <v>2</v>
      </c>
      <c r="Y48" s="7">
        <v>2</v>
      </c>
      <c r="Z48" s="6">
        <v>0</v>
      </c>
      <c r="AA48" s="7">
        <v>0</v>
      </c>
      <c r="AB48" s="6">
        <v>0</v>
      </c>
      <c r="AC48" s="7">
        <v>0</v>
      </c>
      <c r="AD48" s="6">
        <v>2</v>
      </c>
      <c r="AE48" s="8"/>
      <c r="AF48" s="1">
        <v>0</v>
      </c>
      <c r="AG48" s="1">
        <v>0</v>
      </c>
      <c r="AH48" s="1">
        <v>0</v>
      </c>
      <c r="AI48" s="9">
        <v>0</v>
      </c>
      <c r="AJ48" s="9">
        <v>0</v>
      </c>
      <c r="AK48" s="9">
        <v>0</v>
      </c>
      <c r="AL48" s="9">
        <v>0</v>
      </c>
      <c r="AM48" s="10">
        <f>SUM(AF48:AL48)</f>
        <v>0</v>
      </c>
      <c r="AO48" s="26">
        <f>48-33</f>
        <v>15</v>
      </c>
      <c r="AP48" s="27">
        <f>AO48/16</f>
        <v>0.9375</v>
      </c>
      <c r="AQ48" t="s">
        <v>49</v>
      </c>
    </row>
    <row r="49" spans="1:43" x14ac:dyDescent="0.25">
      <c r="A49" t="s">
        <v>21</v>
      </c>
      <c r="B49" s="4" t="s">
        <v>22</v>
      </c>
      <c r="C49" s="11" t="s">
        <v>50</v>
      </c>
      <c r="D49" s="12">
        <v>0</v>
      </c>
      <c r="E49" s="13">
        <v>7</v>
      </c>
      <c r="F49" s="12">
        <v>10</v>
      </c>
      <c r="G49" s="13">
        <v>2</v>
      </c>
      <c r="H49" s="12">
        <v>2</v>
      </c>
      <c r="I49" s="13">
        <v>10</v>
      </c>
      <c r="J49" s="12">
        <v>5</v>
      </c>
      <c r="K49" s="8">
        <f>(2910+225+1315)*1.016</f>
        <v>4521.2</v>
      </c>
      <c r="L49" s="1">
        <v>0</v>
      </c>
      <c r="M49" s="1">
        <v>18</v>
      </c>
      <c r="N49" s="1">
        <v>33</v>
      </c>
      <c r="O49" s="1">
        <v>0</v>
      </c>
      <c r="P49" s="1">
        <v>0</v>
      </c>
      <c r="Q49" s="1">
        <v>33</v>
      </c>
      <c r="R49" s="1">
        <v>3</v>
      </c>
      <c r="S49" s="10">
        <f t="shared" ref="S49" si="20">SUM(L49:R49)</f>
        <v>87</v>
      </c>
      <c r="U49" t="s">
        <v>21</v>
      </c>
      <c r="V49" s="4" t="s">
        <v>22</v>
      </c>
      <c r="W49" s="11" t="s">
        <v>50</v>
      </c>
      <c r="X49" s="12">
        <v>0</v>
      </c>
      <c r="Y49" s="13">
        <v>10</v>
      </c>
      <c r="Z49" s="12">
        <v>10</v>
      </c>
      <c r="AA49" s="13">
        <v>2</v>
      </c>
      <c r="AB49" s="12">
        <v>2</v>
      </c>
      <c r="AC49" s="13">
        <v>10</v>
      </c>
      <c r="AD49" s="12">
        <v>5</v>
      </c>
      <c r="AE49" s="8">
        <f>(2910+1165+1315)*1.016</f>
        <v>5476.24</v>
      </c>
      <c r="AF49" s="1">
        <v>0</v>
      </c>
      <c r="AG49" s="1">
        <f>19+18</f>
        <v>37</v>
      </c>
      <c r="AH49" s="1">
        <v>33</v>
      </c>
      <c r="AI49" s="1">
        <v>0</v>
      </c>
      <c r="AJ49" s="1">
        <v>0</v>
      </c>
      <c r="AK49" s="1">
        <v>33</v>
      </c>
      <c r="AL49" s="1">
        <v>3</v>
      </c>
      <c r="AM49" s="10">
        <f t="shared" ref="AM49" si="21">SUM(AF49:AL49)</f>
        <v>106</v>
      </c>
    </row>
    <row r="50" spans="1:43" x14ac:dyDescent="0.25">
      <c r="A50" t="s">
        <v>23</v>
      </c>
      <c r="B50" s="4" t="s">
        <v>22</v>
      </c>
      <c r="C50" s="11" t="s">
        <v>50</v>
      </c>
      <c r="D50" s="12">
        <v>0</v>
      </c>
      <c r="E50" s="13">
        <v>7</v>
      </c>
      <c r="F50" s="12">
        <v>10</v>
      </c>
      <c r="G50" s="13">
        <v>2</v>
      </c>
      <c r="H50" s="12">
        <v>2</v>
      </c>
      <c r="I50" s="13">
        <v>10</v>
      </c>
      <c r="J50" s="12">
        <v>5</v>
      </c>
      <c r="K50" s="8">
        <f>(2910+225+1315)*1.016</f>
        <v>4521.2</v>
      </c>
      <c r="L50" s="1">
        <v>0</v>
      </c>
      <c r="M50" s="1">
        <v>18</v>
      </c>
      <c r="N50" s="1">
        <v>33</v>
      </c>
      <c r="O50" s="1">
        <v>0</v>
      </c>
      <c r="P50" s="1">
        <v>0</v>
      </c>
      <c r="Q50" s="1">
        <v>33</v>
      </c>
      <c r="R50" s="1">
        <v>3</v>
      </c>
      <c r="S50" s="10">
        <f>SUM(L50:R50)</f>
        <v>87</v>
      </c>
      <c r="U50" t="s">
        <v>23</v>
      </c>
      <c r="V50" s="4" t="s">
        <v>22</v>
      </c>
      <c r="W50" s="11" t="s">
        <v>50</v>
      </c>
      <c r="X50" s="12">
        <v>0</v>
      </c>
      <c r="Y50" s="13">
        <v>10</v>
      </c>
      <c r="Z50" s="12">
        <v>10</v>
      </c>
      <c r="AA50" s="13">
        <v>2</v>
      </c>
      <c r="AB50" s="12">
        <v>2</v>
      </c>
      <c r="AC50" s="13">
        <v>10</v>
      </c>
      <c r="AD50" s="12">
        <v>5</v>
      </c>
      <c r="AE50" s="8">
        <f>(2910+1165+1315)*1.016</f>
        <v>5476.24</v>
      </c>
      <c r="AF50" s="1">
        <v>0</v>
      </c>
      <c r="AG50" s="1">
        <v>37</v>
      </c>
      <c r="AH50" s="1">
        <v>33</v>
      </c>
      <c r="AI50" s="1">
        <v>0</v>
      </c>
      <c r="AJ50" s="1">
        <v>0</v>
      </c>
      <c r="AK50" s="1">
        <v>33</v>
      </c>
      <c r="AL50" s="1">
        <v>3</v>
      </c>
      <c r="AM50" s="10">
        <f>SUM(AF50:AL50)</f>
        <v>106</v>
      </c>
    </row>
    <row r="51" spans="1:43" x14ac:dyDescent="0.25">
      <c r="A51" t="s">
        <v>24</v>
      </c>
      <c r="B51" s="4"/>
      <c r="C51" s="11"/>
      <c r="D51" s="12">
        <v>0</v>
      </c>
      <c r="E51" s="13">
        <v>2</v>
      </c>
      <c r="F51" s="12">
        <v>2</v>
      </c>
      <c r="G51" s="13">
        <v>2</v>
      </c>
      <c r="H51" s="12">
        <v>2</v>
      </c>
      <c r="I51" s="13">
        <v>2</v>
      </c>
      <c r="J51" s="12">
        <v>2</v>
      </c>
      <c r="K51" s="8"/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0">
        <f>SUM(L51:R51)</f>
        <v>0</v>
      </c>
      <c r="U51" t="s">
        <v>24</v>
      </c>
      <c r="V51" s="4"/>
      <c r="W51" s="11"/>
      <c r="X51" s="12">
        <v>0</v>
      </c>
      <c r="Y51" s="13">
        <v>2</v>
      </c>
      <c r="Z51" s="12">
        <v>2</v>
      </c>
      <c r="AA51" s="13">
        <v>2</v>
      </c>
      <c r="AB51" s="12">
        <v>2</v>
      </c>
      <c r="AC51" s="13">
        <v>2</v>
      </c>
      <c r="AD51" s="12">
        <v>2</v>
      </c>
      <c r="AE51" s="8"/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0">
        <f>SUM(AF51:AL51)</f>
        <v>0</v>
      </c>
    </row>
    <row r="52" spans="1:43" x14ac:dyDescent="0.25">
      <c r="A52" t="s">
        <v>25</v>
      </c>
      <c r="B52" s="4" t="s">
        <v>75</v>
      </c>
      <c r="C52" s="11" t="s">
        <v>74</v>
      </c>
      <c r="D52" s="12">
        <v>0</v>
      </c>
      <c r="E52" s="13">
        <v>10</v>
      </c>
      <c r="F52" s="12">
        <v>7</v>
      </c>
      <c r="G52" s="13">
        <v>2</v>
      </c>
      <c r="H52" s="12">
        <v>2</v>
      </c>
      <c r="I52" s="13">
        <v>10</v>
      </c>
      <c r="J52" s="12">
        <v>5</v>
      </c>
      <c r="K52" s="8">
        <f>(2330+510+1310)*1.016</f>
        <v>4216.3999999999996</v>
      </c>
      <c r="L52" s="1">
        <v>0</v>
      </c>
      <c r="M52" s="1">
        <v>37</v>
      </c>
      <c r="N52" s="1">
        <v>16</v>
      </c>
      <c r="O52" s="1">
        <v>0</v>
      </c>
      <c r="P52" s="1">
        <v>0</v>
      </c>
      <c r="Q52" s="1">
        <v>33</v>
      </c>
      <c r="R52" s="1">
        <v>3</v>
      </c>
      <c r="S52" s="10">
        <f t="shared" ref="S52:S59" si="22">SUM(L52:R52)</f>
        <v>89</v>
      </c>
      <c r="U52" t="s">
        <v>25</v>
      </c>
      <c r="V52" s="4" t="s">
        <v>75</v>
      </c>
      <c r="W52" s="11" t="s">
        <v>74</v>
      </c>
      <c r="X52" s="12">
        <v>0</v>
      </c>
      <c r="Y52" s="13">
        <v>12</v>
      </c>
      <c r="Z52" s="12">
        <v>7</v>
      </c>
      <c r="AA52" s="13">
        <v>2</v>
      </c>
      <c r="AB52" s="12">
        <v>2</v>
      </c>
      <c r="AC52" s="13">
        <v>10</v>
      </c>
      <c r="AD52" s="12">
        <v>5</v>
      </c>
      <c r="AE52" s="8">
        <f>(7010+510+1310)*1.016</f>
        <v>8971.2800000000007</v>
      </c>
      <c r="AF52" s="1">
        <v>0</v>
      </c>
      <c r="AG52" s="1">
        <v>56</v>
      </c>
      <c r="AH52" s="1">
        <v>16</v>
      </c>
      <c r="AI52" s="1">
        <v>0</v>
      </c>
      <c r="AJ52" s="1">
        <v>0</v>
      </c>
      <c r="AK52" s="1">
        <v>33</v>
      </c>
      <c r="AL52" s="1">
        <v>3</v>
      </c>
      <c r="AM52" s="10">
        <f t="shared" ref="AM52:AM59" si="23">SUM(AF52:AL52)</f>
        <v>108</v>
      </c>
    </row>
    <row r="53" spans="1:43" x14ac:dyDescent="0.25">
      <c r="A53" t="s">
        <v>26</v>
      </c>
      <c r="B53" s="4" t="s">
        <v>75</v>
      </c>
      <c r="C53" s="11" t="s">
        <v>74</v>
      </c>
      <c r="D53" s="12">
        <v>0</v>
      </c>
      <c r="E53" s="13">
        <v>10</v>
      </c>
      <c r="F53" s="12">
        <v>7</v>
      </c>
      <c r="G53" s="13">
        <v>2</v>
      </c>
      <c r="H53" s="12">
        <v>2</v>
      </c>
      <c r="I53" s="13">
        <v>10</v>
      </c>
      <c r="J53" s="12">
        <v>5</v>
      </c>
      <c r="K53" s="8">
        <f>(2330+510+1310)*1.016</f>
        <v>4216.3999999999996</v>
      </c>
      <c r="L53" s="1">
        <v>0</v>
      </c>
      <c r="M53" s="1">
        <v>37</v>
      </c>
      <c r="N53" s="1">
        <v>16</v>
      </c>
      <c r="O53" s="1">
        <v>0</v>
      </c>
      <c r="P53" s="1">
        <v>0</v>
      </c>
      <c r="Q53" s="1">
        <v>33</v>
      </c>
      <c r="R53" s="1">
        <v>3</v>
      </c>
      <c r="S53" s="10">
        <f t="shared" si="22"/>
        <v>89</v>
      </c>
      <c r="U53" t="s">
        <v>26</v>
      </c>
      <c r="V53" s="4" t="s">
        <v>75</v>
      </c>
      <c r="W53" s="11" t="s">
        <v>74</v>
      </c>
      <c r="X53" s="12">
        <v>0</v>
      </c>
      <c r="Y53" s="13">
        <v>12</v>
      </c>
      <c r="Z53" s="12">
        <v>7</v>
      </c>
      <c r="AA53" s="13">
        <v>2</v>
      </c>
      <c r="AB53" s="12">
        <v>2</v>
      </c>
      <c r="AC53" s="13">
        <v>10</v>
      </c>
      <c r="AD53" s="12">
        <v>5</v>
      </c>
      <c r="AE53" s="8">
        <f>(7010+510+1310)*1.016</f>
        <v>8971.2800000000007</v>
      </c>
      <c r="AF53" s="1">
        <v>0</v>
      </c>
      <c r="AG53" s="1">
        <v>56</v>
      </c>
      <c r="AH53" s="1">
        <v>16</v>
      </c>
      <c r="AI53" s="1">
        <v>0</v>
      </c>
      <c r="AJ53" s="1">
        <v>0</v>
      </c>
      <c r="AK53" s="1">
        <v>33</v>
      </c>
      <c r="AL53" s="1">
        <v>3</v>
      </c>
      <c r="AM53" s="10">
        <f t="shared" si="23"/>
        <v>108</v>
      </c>
    </row>
    <row r="54" spans="1:43" x14ac:dyDescent="0.25">
      <c r="A54" t="s">
        <v>27</v>
      </c>
      <c r="B54" s="4"/>
      <c r="C54" s="11"/>
      <c r="D54" s="12">
        <v>0</v>
      </c>
      <c r="E54" s="13">
        <v>2</v>
      </c>
      <c r="F54" s="12">
        <v>2</v>
      </c>
      <c r="G54" s="13">
        <v>2</v>
      </c>
      <c r="H54" s="12">
        <v>2</v>
      </c>
      <c r="I54" s="13">
        <v>2</v>
      </c>
      <c r="J54" s="12">
        <v>2</v>
      </c>
      <c r="K54" s="8"/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0">
        <f t="shared" si="22"/>
        <v>0</v>
      </c>
      <c r="U54" t="s">
        <v>27</v>
      </c>
      <c r="V54" s="4"/>
      <c r="W54" s="11"/>
      <c r="X54" s="12">
        <v>0</v>
      </c>
      <c r="Y54" s="13">
        <v>2</v>
      </c>
      <c r="Z54" s="12">
        <v>2</v>
      </c>
      <c r="AA54" s="13">
        <v>2</v>
      </c>
      <c r="AB54" s="12">
        <v>2</v>
      </c>
      <c r="AC54" s="13">
        <v>2</v>
      </c>
      <c r="AD54" s="12">
        <v>2</v>
      </c>
      <c r="AE54" s="8"/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0">
        <f t="shared" si="23"/>
        <v>0</v>
      </c>
    </row>
    <row r="55" spans="1:43" x14ac:dyDescent="0.25">
      <c r="A55" t="s">
        <v>28</v>
      </c>
      <c r="B55" s="4" t="s">
        <v>30</v>
      </c>
      <c r="C55" s="11" t="s">
        <v>50</v>
      </c>
      <c r="D55" s="12">
        <v>0</v>
      </c>
      <c r="E55" s="13">
        <v>7</v>
      </c>
      <c r="F55" s="12">
        <v>12</v>
      </c>
      <c r="G55" s="13">
        <v>2</v>
      </c>
      <c r="H55" s="12">
        <v>2</v>
      </c>
      <c r="I55" s="13">
        <v>10</v>
      </c>
      <c r="J55" s="12">
        <v>10</v>
      </c>
      <c r="K55" s="8">
        <f>(8670+225+1315)*1.03</f>
        <v>10516.300000000001</v>
      </c>
      <c r="L55" s="1">
        <v>0</v>
      </c>
      <c r="M55" s="1">
        <v>18</v>
      </c>
      <c r="N55" s="1">
        <v>48</v>
      </c>
      <c r="O55" s="1">
        <v>0</v>
      </c>
      <c r="P55" s="1">
        <v>0</v>
      </c>
      <c r="Q55" s="1">
        <v>33</v>
      </c>
      <c r="R55" s="1">
        <v>8</v>
      </c>
      <c r="S55" s="10">
        <f t="shared" si="22"/>
        <v>107</v>
      </c>
      <c r="U55" t="s">
        <v>28</v>
      </c>
      <c r="V55" s="4" t="s">
        <v>30</v>
      </c>
      <c r="W55" s="11" t="s">
        <v>50</v>
      </c>
      <c r="X55" s="12">
        <v>0</v>
      </c>
      <c r="Y55" s="13">
        <v>10</v>
      </c>
      <c r="Z55" s="12">
        <v>12</v>
      </c>
      <c r="AA55" s="13">
        <v>2</v>
      </c>
      <c r="AB55" s="12">
        <v>2</v>
      </c>
      <c r="AC55" s="13">
        <v>10</v>
      </c>
      <c r="AD55" s="12">
        <v>10</v>
      </c>
      <c r="AE55" s="8">
        <f>(8670+1165+1315)*1.03</f>
        <v>11484.5</v>
      </c>
      <c r="AF55" s="1">
        <v>0</v>
      </c>
      <c r="AG55" s="1">
        <v>37</v>
      </c>
      <c r="AH55" s="1">
        <v>48</v>
      </c>
      <c r="AI55" s="1">
        <v>0</v>
      </c>
      <c r="AJ55" s="1">
        <v>0</v>
      </c>
      <c r="AK55" s="1">
        <v>33</v>
      </c>
      <c r="AL55" s="1">
        <v>8</v>
      </c>
      <c r="AM55" s="10">
        <f t="shared" si="23"/>
        <v>126</v>
      </c>
    </row>
    <row r="56" spans="1:43" x14ac:dyDescent="0.25">
      <c r="A56" t="s">
        <v>29</v>
      </c>
      <c r="B56" s="4" t="s">
        <v>30</v>
      </c>
      <c r="C56" s="11" t="s">
        <v>50</v>
      </c>
      <c r="D56" s="12">
        <v>0</v>
      </c>
      <c r="E56" s="13">
        <v>7</v>
      </c>
      <c r="F56" s="12">
        <v>12</v>
      </c>
      <c r="G56" s="13">
        <v>2</v>
      </c>
      <c r="H56" s="12">
        <v>2</v>
      </c>
      <c r="I56" s="13">
        <v>10</v>
      </c>
      <c r="J56" s="12">
        <v>10</v>
      </c>
      <c r="K56" s="8">
        <f>(8670+225+1315)*1.03</f>
        <v>10516.300000000001</v>
      </c>
      <c r="L56" s="1">
        <v>0</v>
      </c>
      <c r="M56" s="1">
        <v>18</v>
      </c>
      <c r="N56" s="1">
        <v>48</v>
      </c>
      <c r="O56" s="1">
        <v>0</v>
      </c>
      <c r="P56" s="1">
        <v>0</v>
      </c>
      <c r="Q56" s="1">
        <v>33</v>
      </c>
      <c r="R56" s="1">
        <v>8</v>
      </c>
      <c r="S56" s="10">
        <f t="shared" si="22"/>
        <v>107</v>
      </c>
      <c r="U56" t="s">
        <v>29</v>
      </c>
      <c r="V56" s="4" t="s">
        <v>30</v>
      </c>
      <c r="W56" s="11" t="s">
        <v>50</v>
      </c>
      <c r="X56" s="12">
        <v>0</v>
      </c>
      <c r="Y56" s="13">
        <v>10</v>
      </c>
      <c r="Z56" s="12">
        <v>12</v>
      </c>
      <c r="AA56" s="13">
        <v>2</v>
      </c>
      <c r="AB56" s="12">
        <v>2</v>
      </c>
      <c r="AC56" s="13">
        <v>10</v>
      </c>
      <c r="AD56" s="12">
        <v>10</v>
      </c>
      <c r="AE56" s="8">
        <f>(8670+1165+1315)*1.03</f>
        <v>11484.5</v>
      </c>
      <c r="AF56" s="1">
        <v>0</v>
      </c>
      <c r="AG56" s="1">
        <v>37</v>
      </c>
      <c r="AH56" s="1">
        <v>48</v>
      </c>
      <c r="AI56" s="1">
        <v>0</v>
      </c>
      <c r="AJ56" s="1">
        <v>0</v>
      </c>
      <c r="AK56" s="1">
        <v>33</v>
      </c>
      <c r="AL56" s="1">
        <v>8</v>
      </c>
      <c r="AM56" s="10">
        <f t="shared" si="23"/>
        <v>126</v>
      </c>
    </row>
    <row r="57" spans="1:43" x14ac:dyDescent="0.25">
      <c r="A57" t="s">
        <v>72</v>
      </c>
      <c r="B57" s="4"/>
      <c r="C57" s="11"/>
      <c r="D57" s="12">
        <v>0</v>
      </c>
      <c r="E57" s="13">
        <v>2</v>
      </c>
      <c r="F57" s="12">
        <v>2</v>
      </c>
      <c r="G57" s="13">
        <v>2</v>
      </c>
      <c r="H57" s="12">
        <v>2</v>
      </c>
      <c r="I57" s="13">
        <v>2</v>
      </c>
      <c r="J57" s="12">
        <v>2</v>
      </c>
      <c r="K57" s="8"/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0">
        <f t="shared" si="22"/>
        <v>0</v>
      </c>
      <c r="U57" t="s">
        <v>72</v>
      </c>
      <c r="V57" s="4"/>
      <c r="W57" s="11"/>
      <c r="X57" s="12">
        <v>0</v>
      </c>
      <c r="Y57" s="13">
        <v>2</v>
      </c>
      <c r="Z57" s="12">
        <v>2</v>
      </c>
      <c r="AA57" s="13">
        <v>2</v>
      </c>
      <c r="AB57" s="12">
        <v>2</v>
      </c>
      <c r="AC57" s="13">
        <v>2</v>
      </c>
      <c r="AD57" s="12">
        <v>2</v>
      </c>
      <c r="AE57" s="8"/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0">
        <f t="shared" si="23"/>
        <v>0</v>
      </c>
    </row>
    <row r="58" spans="1:43" x14ac:dyDescent="0.25">
      <c r="A58" t="s">
        <v>31</v>
      </c>
      <c r="B58" s="4" t="s">
        <v>30</v>
      </c>
      <c r="C58" s="11" t="s">
        <v>50</v>
      </c>
      <c r="D58" s="12">
        <v>0</v>
      </c>
      <c r="E58" s="13">
        <v>7</v>
      </c>
      <c r="F58" s="12">
        <v>12</v>
      </c>
      <c r="G58" s="13">
        <v>2</v>
      </c>
      <c r="H58" s="12">
        <v>2</v>
      </c>
      <c r="I58" s="13">
        <v>10</v>
      </c>
      <c r="J58" s="12">
        <v>10</v>
      </c>
      <c r="K58" s="8">
        <f>(8670+225+1315)*1.03</f>
        <v>10516.300000000001</v>
      </c>
      <c r="L58" s="1">
        <v>0</v>
      </c>
      <c r="M58" s="1">
        <v>18</v>
      </c>
      <c r="N58" s="1">
        <v>48</v>
      </c>
      <c r="O58" s="1">
        <v>0</v>
      </c>
      <c r="P58" s="1">
        <v>0</v>
      </c>
      <c r="Q58" s="1">
        <v>33</v>
      </c>
      <c r="R58" s="1">
        <v>8</v>
      </c>
      <c r="S58" s="10">
        <f t="shared" si="22"/>
        <v>107</v>
      </c>
      <c r="U58" t="s">
        <v>31</v>
      </c>
      <c r="V58" s="4" t="s">
        <v>30</v>
      </c>
      <c r="W58" s="11" t="s">
        <v>50</v>
      </c>
      <c r="X58" s="12">
        <v>0</v>
      </c>
      <c r="Y58" s="13">
        <v>10</v>
      </c>
      <c r="Z58" s="12">
        <v>12</v>
      </c>
      <c r="AA58" s="13">
        <v>2</v>
      </c>
      <c r="AB58" s="12">
        <v>2</v>
      </c>
      <c r="AC58" s="13">
        <v>10</v>
      </c>
      <c r="AD58" s="12">
        <v>10</v>
      </c>
      <c r="AE58" s="8">
        <f>(8670+1165+1315)*1.03</f>
        <v>11484.5</v>
      </c>
      <c r="AF58" s="1">
        <v>0</v>
      </c>
      <c r="AG58" s="1">
        <v>37</v>
      </c>
      <c r="AH58" s="1">
        <v>48</v>
      </c>
      <c r="AI58" s="1">
        <v>0</v>
      </c>
      <c r="AJ58" s="1">
        <v>0</v>
      </c>
      <c r="AK58" s="1">
        <v>33</v>
      </c>
      <c r="AL58" s="1">
        <v>8</v>
      </c>
      <c r="AM58" s="10">
        <f t="shared" si="23"/>
        <v>126</v>
      </c>
    </row>
    <row r="59" spans="1:43" x14ac:dyDescent="0.25">
      <c r="A59" t="s">
        <v>33</v>
      </c>
      <c r="B59" s="4" t="s">
        <v>32</v>
      </c>
      <c r="C59" s="11" t="s">
        <v>42</v>
      </c>
      <c r="D59" s="12">
        <v>0</v>
      </c>
      <c r="E59" s="13">
        <v>2</v>
      </c>
      <c r="F59" s="12">
        <v>12</v>
      </c>
      <c r="G59" s="13">
        <v>8</v>
      </c>
      <c r="H59" s="12">
        <v>9</v>
      </c>
      <c r="I59" s="13">
        <v>10</v>
      </c>
      <c r="J59" s="12">
        <v>10</v>
      </c>
      <c r="K59" s="8">
        <f>(8670+1315+275+145)*1.03</f>
        <v>10717.15</v>
      </c>
      <c r="L59" s="1">
        <v>0</v>
      </c>
      <c r="M59" s="1">
        <v>0</v>
      </c>
      <c r="N59" s="1">
        <v>48</v>
      </c>
      <c r="O59" s="1">
        <v>15</v>
      </c>
      <c r="P59" s="1">
        <v>23</v>
      </c>
      <c r="Q59" s="1">
        <v>33</v>
      </c>
      <c r="R59" s="1">
        <v>8</v>
      </c>
      <c r="S59" s="10">
        <f t="shared" si="22"/>
        <v>127</v>
      </c>
      <c r="U59" t="s">
        <v>33</v>
      </c>
      <c r="V59" s="4" t="s">
        <v>32</v>
      </c>
      <c r="W59" s="11" t="s">
        <v>42</v>
      </c>
      <c r="X59" s="12">
        <v>0</v>
      </c>
      <c r="Y59" s="13">
        <f>7+1/6</f>
        <v>7.166666666666667</v>
      </c>
      <c r="Z59" s="12">
        <v>12</v>
      </c>
      <c r="AA59" s="13">
        <v>8</v>
      </c>
      <c r="AB59" s="12">
        <v>9</v>
      </c>
      <c r="AC59" s="13">
        <v>10</v>
      </c>
      <c r="AD59" s="12">
        <v>10</v>
      </c>
      <c r="AE59" s="8">
        <f>(8670+1315+275+145+225)*1.03</f>
        <v>10948.9</v>
      </c>
      <c r="AF59" s="1">
        <v>0</v>
      </c>
      <c r="AG59" s="1">
        <v>19</v>
      </c>
      <c r="AH59" s="1">
        <v>48</v>
      </c>
      <c r="AI59" s="1">
        <v>15</v>
      </c>
      <c r="AJ59" s="1">
        <v>23</v>
      </c>
      <c r="AK59" s="1">
        <v>33</v>
      </c>
      <c r="AL59" s="1">
        <v>8</v>
      </c>
      <c r="AM59" s="10">
        <f t="shared" si="23"/>
        <v>146</v>
      </c>
    </row>
    <row r="60" spans="1:43" x14ac:dyDescent="0.25">
      <c r="A60" t="s">
        <v>34</v>
      </c>
      <c r="B60" s="4" t="s">
        <v>32</v>
      </c>
      <c r="C60" s="11" t="s">
        <v>73</v>
      </c>
      <c r="D60" s="12">
        <v>0</v>
      </c>
      <c r="E60" s="13">
        <v>2</v>
      </c>
      <c r="F60" s="12">
        <v>12</v>
      </c>
      <c r="G60" s="13">
        <v>8</v>
      </c>
      <c r="H60" s="12">
        <v>9</v>
      </c>
      <c r="I60" s="13">
        <v>10</v>
      </c>
      <c r="J60" s="12">
        <v>10</v>
      </c>
      <c r="K60" s="8">
        <f t="shared" ref="K60:K61" si="24">(8670+1315+275+145)*1.03</f>
        <v>10717.15</v>
      </c>
      <c r="L60" s="1">
        <v>0</v>
      </c>
      <c r="M60" s="1">
        <v>0</v>
      </c>
      <c r="N60" s="1">
        <v>48</v>
      </c>
      <c r="O60" s="1">
        <v>15</v>
      </c>
      <c r="P60" s="1">
        <v>23</v>
      </c>
      <c r="Q60" s="1">
        <v>33</v>
      </c>
      <c r="R60" s="1">
        <v>8</v>
      </c>
      <c r="S60" s="10">
        <f>SUM(L60:R60)</f>
        <v>127</v>
      </c>
      <c r="U60" t="s">
        <v>34</v>
      </c>
      <c r="V60" s="4" t="s">
        <v>32</v>
      </c>
      <c r="W60" s="11" t="s">
        <v>73</v>
      </c>
      <c r="X60" s="12">
        <v>0</v>
      </c>
      <c r="Y60" s="13">
        <f>7+1/6</f>
        <v>7.166666666666667</v>
      </c>
      <c r="Z60" s="12">
        <v>12</v>
      </c>
      <c r="AA60" s="13">
        <v>8</v>
      </c>
      <c r="AB60" s="12">
        <v>9</v>
      </c>
      <c r="AC60" s="13">
        <v>10</v>
      </c>
      <c r="AD60" s="12">
        <v>10</v>
      </c>
      <c r="AE60" s="8">
        <f>(8670+1315+275+145+225)*1.03</f>
        <v>10948.9</v>
      </c>
      <c r="AF60" s="1">
        <v>0</v>
      </c>
      <c r="AG60" s="1">
        <v>19</v>
      </c>
      <c r="AH60" s="1">
        <v>48</v>
      </c>
      <c r="AI60" s="1">
        <v>15</v>
      </c>
      <c r="AJ60" s="1">
        <v>23</v>
      </c>
      <c r="AK60" s="1">
        <v>33</v>
      </c>
      <c r="AL60" s="1">
        <v>8</v>
      </c>
      <c r="AM60" s="10">
        <f>SUM(AF60:AL60)</f>
        <v>146</v>
      </c>
    </row>
    <row r="61" spans="1:43" x14ac:dyDescent="0.25">
      <c r="A61" t="s">
        <v>35</v>
      </c>
      <c r="B61" s="4" t="s">
        <v>32</v>
      </c>
      <c r="C61" s="11" t="s">
        <v>42</v>
      </c>
      <c r="D61" s="12">
        <v>0</v>
      </c>
      <c r="E61" s="13">
        <v>2</v>
      </c>
      <c r="F61" s="12">
        <v>12</v>
      </c>
      <c r="G61" s="13">
        <v>8</v>
      </c>
      <c r="H61" s="12">
        <v>9</v>
      </c>
      <c r="I61" s="13">
        <v>10</v>
      </c>
      <c r="J61" s="12">
        <v>10</v>
      </c>
      <c r="K61" s="8">
        <f t="shared" si="24"/>
        <v>10717.15</v>
      </c>
      <c r="L61" s="1">
        <v>0</v>
      </c>
      <c r="M61" s="1">
        <v>0</v>
      </c>
      <c r="N61" s="1">
        <v>48</v>
      </c>
      <c r="O61" s="1">
        <v>15</v>
      </c>
      <c r="P61" s="1">
        <v>23</v>
      </c>
      <c r="Q61" s="1">
        <v>33</v>
      </c>
      <c r="R61" s="1">
        <v>8</v>
      </c>
      <c r="S61" s="10">
        <f>SUM(L61:R61)</f>
        <v>127</v>
      </c>
      <c r="U61" t="s">
        <v>35</v>
      </c>
      <c r="V61" s="4" t="s">
        <v>32</v>
      </c>
      <c r="W61" s="11" t="s">
        <v>42</v>
      </c>
      <c r="X61" s="12">
        <v>0</v>
      </c>
      <c r="Y61" s="13">
        <f>7+1/6</f>
        <v>7.166666666666667</v>
      </c>
      <c r="Z61" s="12">
        <v>12</v>
      </c>
      <c r="AA61" s="13">
        <v>8</v>
      </c>
      <c r="AB61" s="12">
        <v>9</v>
      </c>
      <c r="AC61" s="13">
        <v>10</v>
      </c>
      <c r="AD61" s="12">
        <v>10</v>
      </c>
      <c r="AE61" s="8">
        <f>(8670+1315+275+145+225)*1.03</f>
        <v>10948.9</v>
      </c>
      <c r="AF61" s="1">
        <v>0</v>
      </c>
      <c r="AG61" s="1">
        <v>19</v>
      </c>
      <c r="AH61" s="1">
        <v>48</v>
      </c>
      <c r="AI61" s="1">
        <v>15</v>
      </c>
      <c r="AJ61" s="1">
        <v>23</v>
      </c>
      <c r="AK61" s="1">
        <v>33</v>
      </c>
      <c r="AL61" s="1">
        <v>8</v>
      </c>
      <c r="AM61" s="10">
        <f>SUM(AF61:AL61)</f>
        <v>146</v>
      </c>
      <c r="AO61" t="s">
        <v>83</v>
      </c>
      <c r="AP61" s="26" t="s">
        <v>84</v>
      </c>
    </row>
    <row r="62" spans="1:43" x14ac:dyDescent="0.25">
      <c r="A62" t="s">
        <v>37</v>
      </c>
      <c r="B62" s="4"/>
      <c r="C62" s="11"/>
      <c r="D62" s="12">
        <v>0</v>
      </c>
      <c r="E62" s="13">
        <v>2</v>
      </c>
      <c r="F62" s="12">
        <v>2</v>
      </c>
      <c r="G62" s="13">
        <v>2</v>
      </c>
      <c r="H62" s="12">
        <v>2</v>
      </c>
      <c r="I62" s="13">
        <v>2</v>
      </c>
      <c r="J62" s="12">
        <v>2</v>
      </c>
      <c r="K62" s="8"/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0">
        <f t="shared" ref="S62:S63" si="25">SUM(L62:R62)</f>
        <v>0</v>
      </c>
      <c r="U62" t="s">
        <v>37</v>
      </c>
      <c r="V62" s="4"/>
      <c r="W62" s="11"/>
      <c r="X62" s="12">
        <v>0</v>
      </c>
      <c r="Y62" s="13">
        <v>2</v>
      </c>
      <c r="Z62" s="12">
        <v>2</v>
      </c>
      <c r="AA62" s="13">
        <v>2</v>
      </c>
      <c r="AB62" s="12">
        <v>2</v>
      </c>
      <c r="AC62" s="13">
        <v>2</v>
      </c>
      <c r="AD62" s="12">
        <v>2</v>
      </c>
      <c r="AE62" s="8"/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0">
        <f t="shared" ref="AM62:AM63" si="26">SUM(AF62:AL62)</f>
        <v>0</v>
      </c>
      <c r="AO62">
        <f>56-37</f>
        <v>19</v>
      </c>
      <c r="AP62" s="27">
        <f>AO62/16</f>
        <v>1.1875</v>
      </c>
      <c r="AQ62" t="s">
        <v>40</v>
      </c>
    </row>
    <row r="63" spans="1:43" x14ac:dyDescent="0.25">
      <c r="A63" t="s">
        <v>121</v>
      </c>
      <c r="B63" s="4"/>
      <c r="C63" s="11"/>
      <c r="D63" s="12">
        <v>0</v>
      </c>
      <c r="E63" s="13">
        <v>2</v>
      </c>
      <c r="F63" s="12">
        <v>2</v>
      </c>
      <c r="G63" s="13">
        <v>2</v>
      </c>
      <c r="H63" s="12">
        <v>2</v>
      </c>
      <c r="I63" s="13">
        <v>2</v>
      </c>
      <c r="J63" s="12">
        <v>2</v>
      </c>
      <c r="K63" s="8"/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0">
        <f t="shared" si="25"/>
        <v>0</v>
      </c>
      <c r="U63" t="s">
        <v>121</v>
      </c>
      <c r="V63" s="4"/>
      <c r="W63" s="11"/>
      <c r="X63" s="12">
        <v>0</v>
      </c>
      <c r="Y63" s="13">
        <v>2</v>
      </c>
      <c r="Z63" s="12">
        <v>2</v>
      </c>
      <c r="AA63" s="13">
        <v>2</v>
      </c>
      <c r="AB63" s="12">
        <v>2</v>
      </c>
      <c r="AC63" s="13">
        <v>2</v>
      </c>
      <c r="AD63" s="12">
        <v>2</v>
      </c>
      <c r="AE63" s="8"/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0">
        <f t="shared" si="26"/>
        <v>0</v>
      </c>
    </row>
    <row r="64" spans="1:43" x14ac:dyDescent="0.25">
      <c r="D64" s="1"/>
      <c r="E64" s="1"/>
      <c r="F64" s="1"/>
      <c r="G64" s="1"/>
      <c r="H64" s="1"/>
      <c r="I64" s="1"/>
      <c r="J64" s="1"/>
      <c r="K64" s="2">
        <f>SUM(K66:K80)</f>
        <v>129665.08999999997</v>
      </c>
      <c r="L64" s="1"/>
      <c r="M64" s="1"/>
      <c r="N64" s="1"/>
      <c r="O64" s="1"/>
      <c r="P64" s="1"/>
      <c r="Q64" s="1"/>
      <c r="R64" s="1"/>
      <c r="S64" s="1"/>
      <c r="X64" s="1"/>
      <c r="Y64" s="1"/>
      <c r="Z64" s="1"/>
      <c r="AA64" s="1"/>
      <c r="AB64" s="1"/>
      <c r="AC64" s="1"/>
      <c r="AD64" s="1"/>
      <c r="AE64" s="2">
        <f>SUM(AE66:AE80)</f>
        <v>133227.5</v>
      </c>
      <c r="AF64" s="1"/>
      <c r="AG64" s="1"/>
      <c r="AH64" s="1"/>
      <c r="AI64" s="1"/>
      <c r="AJ64" s="1"/>
      <c r="AK64" s="1"/>
      <c r="AL64" s="1"/>
      <c r="AM64" s="1"/>
    </row>
    <row r="65" spans="1:43" x14ac:dyDescent="0.25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3" t="s">
        <v>15</v>
      </c>
      <c r="Q65" s="3" t="s">
        <v>16</v>
      </c>
      <c r="R65" s="3" t="s">
        <v>17</v>
      </c>
      <c r="S65" s="3" t="s">
        <v>18</v>
      </c>
      <c r="U65" s="3" t="s">
        <v>0</v>
      </c>
      <c r="V65" s="3" t="s">
        <v>1</v>
      </c>
      <c r="W65" s="3" t="s">
        <v>2</v>
      </c>
      <c r="X65" s="3" t="s">
        <v>3</v>
      </c>
      <c r="Y65" s="3" t="s">
        <v>4</v>
      </c>
      <c r="Z65" s="3" t="s">
        <v>5</v>
      </c>
      <c r="AA65" s="3" t="s">
        <v>6</v>
      </c>
      <c r="AB65" s="3" t="s">
        <v>7</v>
      </c>
      <c r="AC65" s="3" t="s">
        <v>8</v>
      </c>
      <c r="AD65" s="3" t="s">
        <v>9</v>
      </c>
      <c r="AE65" s="3" t="s">
        <v>10</v>
      </c>
      <c r="AF65" s="3" t="s">
        <v>11</v>
      </c>
      <c r="AG65" s="3" t="s">
        <v>12</v>
      </c>
      <c r="AH65" s="3" t="s">
        <v>13</v>
      </c>
      <c r="AI65" s="3" t="s">
        <v>14</v>
      </c>
      <c r="AJ65" s="3" t="s">
        <v>15</v>
      </c>
      <c r="AK65" s="3" t="s">
        <v>16</v>
      </c>
      <c r="AL65" s="3" t="s">
        <v>17</v>
      </c>
      <c r="AM65" s="3" t="s">
        <v>18</v>
      </c>
    </row>
    <row r="66" spans="1:43" x14ac:dyDescent="0.25">
      <c r="A66" t="s">
        <v>19</v>
      </c>
      <c r="B66" s="4" t="s">
        <v>20</v>
      </c>
      <c r="C66" s="5"/>
      <c r="D66" s="6">
        <v>16</v>
      </c>
      <c r="E66" s="7">
        <v>5</v>
      </c>
      <c r="F66" s="6">
        <v>0</v>
      </c>
      <c r="G66" s="7">
        <v>0</v>
      </c>
      <c r="H66" s="6">
        <v>0</v>
      </c>
      <c r="I66" s="7">
        <v>0</v>
      </c>
      <c r="J66" s="6">
        <v>10</v>
      </c>
      <c r="K66" s="8">
        <f>(24270+135)*1.03</f>
        <v>25137.15</v>
      </c>
      <c r="L66" s="1">
        <v>52</v>
      </c>
      <c r="M66" s="1">
        <v>10</v>
      </c>
      <c r="N66" s="1">
        <v>0</v>
      </c>
      <c r="O66" s="9">
        <v>0</v>
      </c>
      <c r="P66" s="9">
        <v>0</v>
      </c>
      <c r="Q66" s="9">
        <v>0</v>
      </c>
      <c r="R66" s="9">
        <v>8</v>
      </c>
      <c r="S66" s="10">
        <f>SUM(L66:R66)</f>
        <v>70</v>
      </c>
      <c r="U66" t="s">
        <v>19</v>
      </c>
      <c r="V66" s="4" t="s">
        <v>20</v>
      </c>
      <c r="W66" s="5"/>
      <c r="X66" s="6">
        <v>16</v>
      </c>
      <c r="Y66" s="7">
        <v>5</v>
      </c>
      <c r="Z66" s="6">
        <v>0</v>
      </c>
      <c r="AA66" s="7">
        <v>0</v>
      </c>
      <c r="AB66" s="6">
        <v>0</v>
      </c>
      <c r="AC66" s="7">
        <v>0</v>
      </c>
      <c r="AD66" s="6">
        <v>19</v>
      </c>
      <c r="AE66" s="8">
        <f>(24270+135)*1.06</f>
        <v>25869.300000000003</v>
      </c>
      <c r="AF66" s="1">
        <v>52</v>
      </c>
      <c r="AG66" s="1">
        <v>10</v>
      </c>
      <c r="AH66" s="1">
        <v>0</v>
      </c>
      <c r="AI66" s="9">
        <v>0</v>
      </c>
      <c r="AJ66" s="9">
        <v>0</v>
      </c>
      <c r="AK66" s="9">
        <v>0</v>
      </c>
      <c r="AL66" s="9">
        <v>33</v>
      </c>
      <c r="AM66" s="10">
        <f>SUM(AF66:AL66)</f>
        <v>95</v>
      </c>
    </row>
    <row r="67" spans="1:43" x14ac:dyDescent="0.25">
      <c r="A67" t="s">
        <v>21</v>
      </c>
      <c r="B67" s="4" t="s">
        <v>22</v>
      </c>
      <c r="C67" s="11" t="s">
        <v>50</v>
      </c>
      <c r="D67" s="12">
        <v>0</v>
      </c>
      <c r="E67" s="13">
        <v>10</v>
      </c>
      <c r="F67" s="12">
        <v>10</v>
      </c>
      <c r="G67" s="13">
        <v>2</v>
      </c>
      <c r="H67" s="12">
        <v>2</v>
      </c>
      <c r="I67" s="13">
        <v>10</v>
      </c>
      <c r="J67" s="12">
        <v>5</v>
      </c>
      <c r="K67" s="8">
        <f>(2910+1165+1315)*1.016</f>
        <v>5476.24</v>
      </c>
      <c r="L67" s="1">
        <v>0</v>
      </c>
      <c r="M67" s="1">
        <f>19+18</f>
        <v>37</v>
      </c>
      <c r="N67" s="1">
        <v>33</v>
      </c>
      <c r="O67" s="1">
        <v>0</v>
      </c>
      <c r="P67" s="1">
        <v>0</v>
      </c>
      <c r="Q67" s="1">
        <v>33</v>
      </c>
      <c r="R67" s="1">
        <v>3</v>
      </c>
      <c r="S67" s="10">
        <f t="shared" ref="S67" si="27">SUM(L67:R67)</f>
        <v>106</v>
      </c>
      <c r="U67" t="s">
        <v>21</v>
      </c>
      <c r="V67" s="4" t="s">
        <v>22</v>
      </c>
      <c r="W67" s="11" t="s">
        <v>50</v>
      </c>
      <c r="X67" s="12">
        <v>0</v>
      </c>
      <c r="Y67" s="13">
        <v>10</v>
      </c>
      <c r="Z67" s="12">
        <v>10</v>
      </c>
      <c r="AA67" s="13">
        <v>2</v>
      </c>
      <c r="AB67" s="12">
        <v>2</v>
      </c>
      <c r="AC67" s="13">
        <v>10</v>
      </c>
      <c r="AD67" s="12">
        <v>16.5</v>
      </c>
      <c r="AE67" s="8">
        <f>(2910+1165+1315)*1.05</f>
        <v>5659.5</v>
      </c>
      <c r="AF67" s="1">
        <v>0</v>
      </c>
      <c r="AG67" s="1">
        <f>19+18</f>
        <v>37</v>
      </c>
      <c r="AH67" s="1">
        <v>33</v>
      </c>
      <c r="AI67" s="1">
        <v>0</v>
      </c>
      <c r="AJ67" s="1">
        <v>0</v>
      </c>
      <c r="AK67" s="1">
        <v>33</v>
      </c>
      <c r="AL67" s="1">
        <v>23</v>
      </c>
      <c r="AM67" s="10">
        <f t="shared" ref="AM67" si="28">SUM(AF67:AL67)</f>
        <v>126</v>
      </c>
    </row>
    <row r="68" spans="1:43" x14ac:dyDescent="0.25">
      <c r="A68" t="s">
        <v>23</v>
      </c>
      <c r="B68" s="4" t="s">
        <v>22</v>
      </c>
      <c r="C68" s="11" t="s">
        <v>50</v>
      </c>
      <c r="D68" s="12">
        <v>0</v>
      </c>
      <c r="E68" s="13">
        <v>10</v>
      </c>
      <c r="F68" s="12">
        <v>10</v>
      </c>
      <c r="G68" s="13">
        <v>2</v>
      </c>
      <c r="H68" s="12">
        <v>2</v>
      </c>
      <c r="I68" s="13">
        <v>10</v>
      </c>
      <c r="J68" s="12">
        <v>5</v>
      </c>
      <c r="K68" s="8">
        <f>(2910+1165+1315)*1.016</f>
        <v>5476.24</v>
      </c>
      <c r="L68" s="1">
        <v>0</v>
      </c>
      <c r="M68" s="1">
        <v>37</v>
      </c>
      <c r="N68" s="1">
        <v>33</v>
      </c>
      <c r="O68" s="1">
        <v>0</v>
      </c>
      <c r="P68" s="1">
        <v>0</v>
      </c>
      <c r="Q68" s="1">
        <v>33</v>
      </c>
      <c r="R68" s="1">
        <v>3</v>
      </c>
      <c r="S68" s="10">
        <f>SUM(L68:R68)</f>
        <v>106</v>
      </c>
      <c r="U68" t="s">
        <v>23</v>
      </c>
      <c r="V68" s="4" t="s">
        <v>22</v>
      </c>
      <c r="W68" s="11" t="s">
        <v>50</v>
      </c>
      <c r="X68" s="12">
        <v>0</v>
      </c>
      <c r="Y68" s="13">
        <v>10</v>
      </c>
      <c r="Z68" s="12">
        <v>10</v>
      </c>
      <c r="AA68" s="13">
        <v>2</v>
      </c>
      <c r="AB68" s="12">
        <v>2</v>
      </c>
      <c r="AC68" s="13">
        <v>10</v>
      </c>
      <c r="AD68" s="12">
        <v>16.5</v>
      </c>
      <c r="AE68" s="8">
        <f>(2910+1165+1315)*1.05</f>
        <v>5659.5</v>
      </c>
      <c r="AF68" s="1">
        <v>0</v>
      </c>
      <c r="AG68" s="1">
        <v>37</v>
      </c>
      <c r="AH68" s="1">
        <v>33</v>
      </c>
      <c r="AI68" s="1">
        <v>0</v>
      </c>
      <c r="AJ68" s="1">
        <v>0</v>
      </c>
      <c r="AK68" s="1">
        <v>33</v>
      </c>
      <c r="AL68" s="1">
        <v>23</v>
      </c>
      <c r="AM68" s="10">
        <f>SUM(AF68:AL68)</f>
        <v>126</v>
      </c>
    </row>
    <row r="69" spans="1:43" x14ac:dyDescent="0.25">
      <c r="A69" t="s">
        <v>24</v>
      </c>
      <c r="B69" s="4" t="s">
        <v>22</v>
      </c>
      <c r="C69" s="11" t="s">
        <v>50</v>
      </c>
      <c r="D69" s="12">
        <v>0</v>
      </c>
      <c r="E69" s="13">
        <v>10</v>
      </c>
      <c r="F69" s="12">
        <v>2</v>
      </c>
      <c r="G69" s="13">
        <v>2</v>
      </c>
      <c r="H69" s="12">
        <v>2</v>
      </c>
      <c r="I69" s="13">
        <v>10</v>
      </c>
      <c r="J69" s="12">
        <v>5</v>
      </c>
      <c r="K69" s="8">
        <f>(2330+1310)*1.03</f>
        <v>3749.2000000000003</v>
      </c>
      <c r="L69" s="1">
        <v>0</v>
      </c>
      <c r="M69" s="1">
        <v>37</v>
      </c>
      <c r="N69" s="1">
        <v>0</v>
      </c>
      <c r="O69" s="1">
        <v>0</v>
      </c>
      <c r="P69" s="1">
        <v>0</v>
      </c>
      <c r="Q69" s="1">
        <v>33</v>
      </c>
      <c r="R69" s="1">
        <v>3</v>
      </c>
      <c r="S69" s="10">
        <f>SUM(L69:R69)</f>
        <v>73</v>
      </c>
      <c r="U69" t="s">
        <v>24</v>
      </c>
      <c r="V69" s="4" t="s">
        <v>22</v>
      </c>
      <c r="W69" s="11" t="s">
        <v>50</v>
      </c>
      <c r="X69" s="12">
        <v>0</v>
      </c>
      <c r="Y69" s="13">
        <v>10</v>
      </c>
      <c r="Z69" s="12">
        <v>2</v>
      </c>
      <c r="AA69" s="13">
        <v>2</v>
      </c>
      <c r="AB69" s="12">
        <v>2</v>
      </c>
      <c r="AC69" s="13">
        <v>10</v>
      </c>
      <c r="AD69" s="12">
        <v>16.5</v>
      </c>
      <c r="AE69" s="8">
        <f>(2330+1310)*1.05</f>
        <v>3822</v>
      </c>
      <c r="AF69" s="1">
        <v>0</v>
      </c>
      <c r="AG69" s="1">
        <v>37</v>
      </c>
      <c r="AH69" s="1">
        <v>0</v>
      </c>
      <c r="AI69" s="1">
        <v>0</v>
      </c>
      <c r="AJ69" s="1">
        <v>0</v>
      </c>
      <c r="AK69" s="1">
        <v>33</v>
      </c>
      <c r="AL69" s="1">
        <v>23</v>
      </c>
      <c r="AM69" s="10">
        <f>SUM(AF69:AL69)</f>
        <v>93</v>
      </c>
    </row>
    <row r="70" spans="1:43" x14ac:dyDescent="0.25">
      <c r="A70" t="s">
        <v>25</v>
      </c>
      <c r="B70" s="4" t="s">
        <v>75</v>
      </c>
      <c r="C70" s="11" t="s">
        <v>74</v>
      </c>
      <c r="D70" s="12">
        <v>0</v>
      </c>
      <c r="E70" s="13">
        <v>12</v>
      </c>
      <c r="F70" s="12">
        <v>7</v>
      </c>
      <c r="G70" s="13">
        <v>2</v>
      </c>
      <c r="H70" s="12">
        <v>2</v>
      </c>
      <c r="I70" s="13">
        <v>10</v>
      </c>
      <c r="J70" s="12">
        <v>5</v>
      </c>
      <c r="K70" s="8">
        <f>(7010+510+1310)*1.016</f>
        <v>8971.2800000000007</v>
      </c>
      <c r="L70" s="1">
        <v>0</v>
      </c>
      <c r="M70" s="1">
        <v>56</v>
      </c>
      <c r="N70" s="1">
        <v>16</v>
      </c>
      <c r="O70" s="1">
        <v>0</v>
      </c>
      <c r="P70" s="1">
        <v>0</v>
      </c>
      <c r="Q70" s="1">
        <v>33</v>
      </c>
      <c r="R70" s="1">
        <v>3</v>
      </c>
      <c r="S70" s="10">
        <f t="shared" ref="S70:S77" si="29">SUM(L70:R70)</f>
        <v>108</v>
      </c>
      <c r="U70" t="s">
        <v>25</v>
      </c>
      <c r="V70" s="4" t="s">
        <v>75</v>
      </c>
      <c r="W70" s="11" t="s">
        <v>74</v>
      </c>
      <c r="X70" s="12">
        <v>0</v>
      </c>
      <c r="Y70" s="13">
        <v>12</v>
      </c>
      <c r="Z70" s="12">
        <v>7</v>
      </c>
      <c r="AA70" s="13">
        <v>2</v>
      </c>
      <c r="AB70" s="12">
        <v>2</v>
      </c>
      <c r="AC70" s="13">
        <v>10</v>
      </c>
      <c r="AD70" s="12">
        <v>16.5</v>
      </c>
      <c r="AE70" s="8">
        <f>(7010+510+1310)*1.05</f>
        <v>9271.5</v>
      </c>
      <c r="AF70" s="1">
        <v>0</v>
      </c>
      <c r="AG70" s="1">
        <v>56</v>
      </c>
      <c r="AH70" s="1">
        <v>16</v>
      </c>
      <c r="AI70" s="1">
        <v>0</v>
      </c>
      <c r="AJ70" s="1">
        <v>0</v>
      </c>
      <c r="AK70" s="1">
        <v>33</v>
      </c>
      <c r="AL70" s="1">
        <v>23</v>
      </c>
      <c r="AM70" s="10">
        <f t="shared" ref="AM70:AM77" si="30">SUM(AF70:AL70)</f>
        <v>128</v>
      </c>
    </row>
    <row r="71" spans="1:43" x14ac:dyDescent="0.25">
      <c r="A71" t="s">
        <v>26</v>
      </c>
      <c r="B71" s="4" t="s">
        <v>75</v>
      </c>
      <c r="C71" s="11" t="s">
        <v>74</v>
      </c>
      <c r="D71" s="12">
        <v>0</v>
      </c>
      <c r="E71" s="13">
        <v>12</v>
      </c>
      <c r="F71" s="12">
        <v>7</v>
      </c>
      <c r="G71" s="13">
        <v>2</v>
      </c>
      <c r="H71" s="12">
        <v>2</v>
      </c>
      <c r="I71" s="13">
        <v>10</v>
      </c>
      <c r="J71" s="12">
        <v>5</v>
      </c>
      <c r="K71" s="8">
        <f>(7010+510+1310)*1.016</f>
        <v>8971.2800000000007</v>
      </c>
      <c r="L71" s="1">
        <v>0</v>
      </c>
      <c r="M71" s="1">
        <v>56</v>
      </c>
      <c r="N71" s="1">
        <v>16</v>
      </c>
      <c r="O71" s="1">
        <v>0</v>
      </c>
      <c r="P71" s="1">
        <v>0</v>
      </c>
      <c r="Q71" s="1">
        <v>33</v>
      </c>
      <c r="R71" s="1">
        <v>3</v>
      </c>
      <c r="S71" s="10">
        <f t="shared" si="29"/>
        <v>108</v>
      </c>
      <c r="U71" t="s">
        <v>26</v>
      </c>
      <c r="V71" s="4" t="s">
        <v>75</v>
      </c>
      <c r="W71" s="11" t="s">
        <v>74</v>
      </c>
      <c r="X71" s="12">
        <v>0</v>
      </c>
      <c r="Y71" s="13">
        <v>12</v>
      </c>
      <c r="Z71" s="12">
        <v>7</v>
      </c>
      <c r="AA71" s="13">
        <v>2</v>
      </c>
      <c r="AB71" s="12">
        <v>2</v>
      </c>
      <c r="AC71" s="13">
        <v>10</v>
      </c>
      <c r="AD71" s="12">
        <v>16.5</v>
      </c>
      <c r="AE71" s="8">
        <f>(7010+510+1310)*1.05</f>
        <v>9271.5</v>
      </c>
      <c r="AF71" s="1">
        <v>0</v>
      </c>
      <c r="AG71" s="1">
        <v>56</v>
      </c>
      <c r="AH71" s="1">
        <v>16</v>
      </c>
      <c r="AI71" s="1">
        <v>0</v>
      </c>
      <c r="AJ71" s="1">
        <v>0</v>
      </c>
      <c r="AK71" s="1">
        <v>33</v>
      </c>
      <c r="AL71" s="1">
        <v>23</v>
      </c>
      <c r="AM71" s="10">
        <f t="shared" si="30"/>
        <v>128</v>
      </c>
    </row>
    <row r="72" spans="1:43" x14ac:dyDescent="0.25">
      <c r="A72" t="s">
        <v>27</v>
      </c>
      <c r="B72" s="4"/>
      <c r="C72" s="11"/>
      <c r="D72" s="12">
        <v>0</v>
      </c>
      <c r="E72" s="13">
        <v>2</v>
      </c>
      <c r="F72" s="12">
        <v>2</v>
      </c>
      <c r="G72" s="13">
        <v>2</v>
      </c>
      <c r="H72" s="12">
        <v>2</v>
      </c>
      <c r="I72" s="13">
        <v>2</v>
      </c>
      <c r="J72" s="12">
        <v>2</v>
      </c>
      <c r="K72" s="8"/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0">
        <f t="shared" si="29"/>
        <v>0</v>
      </c>
      <c r="U72" t="s">
        <v>27</v>
      </c>
      <c r="V72" s="4"/>
      <c r="W72" s="11"/>
      <c r="X72" s="12">
        <v>0</v>
      </c>
      <c r="Y72" s="13">
        <v>2</v>
      </c>
      <c r="Z72" s="12">
        <v>2</v>
      </c>
      <c r="AA72" s="13">
        <v>2</v>
      </c>
      <c r="AB72" s="12">
        <v>2</v>
      </c>
      <c r="AC72" s="13">
        <v>2</v>
      </c>
      <c r="AD72" s="12">
        <v>2</v>
      </c>
      <c r="AE72" s="8"/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0">
        <f t="shared" si="30"/>
        <v>0</v>
      </c>
    </row>
    <row r="73" spans="1:43" x14ac:dyDescent="0.25">
      <c r="A73" t="s">
        <v>28</v>
      </c>
      <c r="B73" s="4" t="s">
        <v>30</v>
      </c>
      <c r="C73" s="11" t="s">
        <v>50</v>
      </c>
      <c r="D73" s="12">
        <v>0</v>
      </c>
      <c r="E73" s="13">
        <v>10</v>
      </c>
      <c r="F73" s="12">
        <v>12</v>
      </c>
      <c r="G73" s="13">
        <v>2</v>
      </c>
      <c r="H73" s="12">
        <v>2</v>
      </c>
      <c r="I73" s="13">
        <v>10</v>
      </c>
      <c r="J73" s="12">
        <v>10</v>
      </c>
      <c r="K73" s="8">
        <f>(8670+1165+1315)*1.03</f>
        <v>11484.5</v>
      </c>
      <c r="L73" s="1">
        <v>0</v>
      </c>
      <c r="M73" s="1">
        <v>37</v>
      </c>
      <c r="N73" s="1">
        <v>48</v>
      </c>
      <c r="O73" s="1">
        <v>0</v>
      </c>
      <c r="P73" s="1">
        <v>0</v>
      </c>
      <c r="Q73" s="1">
        <v>33</v>
      </c>
      <c r="R73" s="1">
        <v>8</v>
      </c>
      <c r="S73" s="10">
        <f t="shared" si="29"/>
        <v>126</v>
      </c>
      <c r="U73" t="s">
        <v>28</v>
      </c>
      <c r="V73" s="4" t="s">
        <v>30</v>
      </c>
      <c r="W73" s="11" t="s">
        <v>50</v>
      </c>
      <c r="X73" s="12">
        <v>0</v>
      </c>
      <c r="Y73" s="13">
        <v>10</v>
      </c>
      <c r="Z73" s="12">
        <v>12</v>
      </c>
      <c r="AA73" s="13">
        <v>2</v>
      </c>
      <c r="AB73" s="12">
        <v>2</v>
      </c>
      <c r="AC73" s="13">
        <v>10</v>
      </c>
      <c r="AD73" s="12">
        <f>17.8</f>
        <v>17.8</v>
      </c>
      <c r="AE73" s="8">
        <f>(8670+1165+1315)*1.052</f>
        <v>11729.800000000001</v>
      </c>
      <c r="AF73" s="1">
        <v>0</v>
      </c>
      <c r="AG73" s="1">
        <v>37</v>
      </c>
      <c r="AH73" s="1">
        <v>48</v>
      </c>
      <c r="AI73" s="1">
        <v>0</v>
      </c>
      <c r="AJ73" s="1">
        <v>0</v>
      </c>
      <c r="AK73" s="1">
        <v>33</v>
      </c>
      <c r="AL73" s="1">
        <v>28</v>
      </c>
      <c r="AM73" s="10">
        <f t="shared" si="30"/>
        <v>146</v>
      </c>
    </row>
    <row r="74" spans="1:43" x14ac:dyDescent="0.25">
      <c r="A74" t="s">
        <v>29</v>
      </c>
      <c r="B74" s="4" t="s">
        <v>30</v>
      </c>
      <c r="C74" s="11" t="s">
        <v>50</v>
      </c>
      <c r="D74" s="12">
        <v>0</v>
      </c>
      <c r="E74" s="13">
        <v>10</v>
      </c>
      <c r="F74" s="12">
        <v>12</v>
      </c>
      <c r="G74" s="13">
        <v>2</v>
      </c>
      <c r="H74" s="12">
        <v>2</v>
      </c>
      <c r="I74" s="13">
        <v>10</v>
      </c>
      <c r="J74" s="12">
        <v>10</v>
      </c>
      <c r="K74" s="8">
        <f>(8670+1165+1315)*1.03</f>
        <v>11484.5</v>
      </c>
      <c r="L74" s="1">
        <v>0</v>
      </c>
      <c r="M74" s="1">
        <v>37</v>
      </c>
      <c r="N74" s="1">
        <v>48</v>
      </c>
      <c r="O74" s="1">
        <v>0</v>
      </c>
      <c r="P74" s="1">
        <v>0</v>
      </c>
      <c r="Q74" s="1">
        <v>33</v>
      </c>
      <c r="R74" s="1">
        <v>8</v>
      </c>
      <c r="S74" s="10">
        <f t="shared" si="29"/>
        <v>126</v>
      </c>
      <c r="U74" t="s">
        <v>29</v>
      </c>
      <c r="V74" s="4" t="s">
        <v>30</v>
      </c>
      <c r="W74" s="11" t="s">
        <v>50</v>
      </c>
      <c r="X74" s="12">
        <v>0</v>
      </c>
      <c r="Y74" s="13">
        <v>10</v>
      </c>
      <c r="Z74" s="12">
        <v>12</v>
      </c>
      <c r="AA74" s="13">
        <v>2</v>
      </c>
      <c r="AB74" s="12">
        <v>2</v>
      </c>
      <c r="AC74" s="13">
        <v>10</v>
      </c>
      <c r="AD74" s="12">
        <v>17.8</v>
      </c>
      <c r="AE74" s="8">
        <f>(8670+1165+1315)*1.052</f>
        <v>11729.800000000001</v>
      </c>
      <c r="AF74" s="1">
        <v>0</v>
      </c>
      <c r="AG74" s="1">
        <v>37</v>
      </c>
      <c r="AH74" s="1">
        <v>48</v>
      </c>
      <c r="AI74" s="1">
        <v>0</v>
      </c>
      <c r="AJ74" s="1">
        <v>0</v>
      </c>
      <c r="AK74" s="1">
        <v>33</v>
      </c>
      <c r="AL74" s="1">
        <v>28</v>
      </c>
      <c r="AM74" s="10">
        <f t="shared" si="30"/>
        <v>146</v>
      </c>
    </row>
    <row r="75" spans="1:43" x14ac:dyDescent="0.25">
      <c r="A75" t="s">
        <v>72</v>
      </c>
      <c r="B75" s="4" t="s">
        <v>30</v>
      </c>
      <c r="C75" s="11" t="s">
        <v>74</v>
      </c>
      <c r="D75" s="12">
        <v>0</v>
      </c>
      <c r="E75" s="13">
        <v>7</v>
      </c>
      <c r="F75" s="12">
        <v>10</v>
      </c>
      <c r="G75" s="13">
        <v>2</v>
      </c>
      <c r="H75" s="12">
        <v>2</v>
      </c>
      <c r="I75" s="13">
        <v>10</v>
      </c>
      <c r="J75" s="12">
        <v>10</v>
      </c>
      <c r="K75" s="8">
        <f>(2910+225+1315)*1.03</f>
        <v>4583.5</v>
      </c>
      <c r="L75" s="1">
        <v>0</v>
      </c>
      <c r="M75" s="1">
        <v>18</v>
      </c>
      <c r="N75" s="1">
        <v>33</v>
      </c>
      <c r="O75" s="1">
        <v>0</v>
      </c>
      <c r="P75" s="1">
        <v>0</v>
      </c>
      <c r="Q75" s="1">
        <v>33</v>
      </c>
      <c r="R75" s="1">
        <v>8</v>
      </c>
      <c r="S75" s="10">
        <f t="shared" si="29"/>
        <v>92</v>
      </c>
      <c r="U75" t="s">
        <v>72</v>
      </c>
      <c r="V75" s="4" t="s">
        <v>30</v>
      </c>
      <c r="W75" s="11" t="s">
        <v>74</v>
      </c>
      <c r="X75" s="12">
        <v>0</v>
      </c>
      <c r="Y75" s="13">
        <v>7</v>
      </c>
      <c r="Z75" s="12">
        <v>10</v>
      </c>
      <c r="AA75" s="13">
        <v>2</v>
      </c>
      <c r="AB75" s="12">
        <v>2</v>
      </c>
      <c r="AC75" s="13">
        <v>10</v>
      </c>
      <c r="AD75" s="12">
        <v>17.8</v>
      </c>
      <c r="AE75" s="8">
        <f>(2910+225+1315)*1.052</f>
        <v>4681.4000000000005</v>
      </c>
      <c r="AF75" s="1">
        <v>0</v>
      </c>
      <c r="AG75" s="1">
        <v>18</v>
      </c>
      <c r="AH75" s="1">
        <v>33</v>
      </c>
      <c r="AI75" s="1">
        <v>0</v>
      </c>
      <c r="AJ75" s="1">
        <v>0</v>
      </c>
      <c r="AK75" s="1">
        <v>33</v>
      </c>
      <c r="AL75" s="1">
        <v>28</v>
      </c>
      <c r="AM75" s="10">
        <f t="shared" si="30"/>
        <v>112</v>
      </c>
    </row>
    <row r="76" spans="1:43" x14ac:dyDescent="0.25">
      <c r="A76" t="s">
        <v>31</v>
      </c>
      <c r="B76" s="4" t="s">
        <v>30</v>
      </c>
      <c r="C76" s="11" t="s">
        <v>50</v>
      </c>
      <c r="D76" s="12">
        <v>0</v>
      </c>
      <c r="E76" s="13">
        <v>10</v>
      </c>
      <c r="F76" s="12">
        <v>12</v>
      </c>
      <c r="G76" s="13">
        <v>2</v>
      </c>
      <c r="H76" s="12">
        <v>2</v>
      </c>
      <c r="I76" s="13">
        <v>10</v>
      </c>
      <c r="J76" s="12">
        <v>10</v>
      </c>
      <c r="K76" s="8">
        <f>(8670+1165+1315)*1.03</f>
        <v>11484.5</v>
      </c>
      <c r="L76" s="1">
        <v>0</v>
      </c>
      <c r="M76" s="1">
        <v>37</v>
      </c>
      <c r="N76" s="1">
        <v>48</v>
      </c>
      <c r="O76" s="1">
        <v>0</v>
      </c>
      <c r="P76" s="1">
        <v>0</v>
      </c>
      <c r="Q76" s="1">
        <v>33</v>
      </c>
      <c r="R76" s="1">
        <v>8</v>
      </c>
      <c r="S76" s="10">
        <f t="shared" si="29"/>
        <v>126</v>
      </c>
      <c r="U76" t="s">
        <v>31</v>
      </c>
      <c r="V76" s="4" t="s">
        <v>30</v>
      </c>
      <c r="W76" s="11" t="s">
        <v>50</v>
      </c>
      <c r="X76" s="12">
        <v>0</v>
      </c>
      <c r="Y76" s="13">
        <v>10</v>
      </c>
      <c r="Z76" s="12">
        <v>12</v>
      </c>
      <c r="AA76" s="13">
        <v>2</v>
      </c>
      <c r="AB76" s="12">
        <v>2</v>
      </c>
      <c r="AC76" s="13">
        <v>10</v>
      </c>
      <c r="AD76" s="12">
        <v>17.8</v>
      </c>
      <c r="AE76" s="8">
        <f>(8670+1165+1315)*1.052</f>
        <v>11729.800000000001</v>
      </c>
      <c r="AF76" s="1">
        <v>0</v>
      </c>
      <c r="AG76" s="1">
        <v>37</v>
      </c>
      <c r="AH76" s="1">
        <v>48</v>
      </c>
      <c r="AI76" s="1">
        <v>0</v>
      </c>
      <c r="AJ76" s="1">
        <v>0</v>
      </c>
      <c r="AK76" s="1">
        <v>33</v>
      </c>
      <c r="AL76" s="1">
        <v>28</v>
      </c>
      <c r="AM76" s="10">
        <f t="shared" si="30"/>
        <v>146</v>
      </c>
    </row>
    <row r="77" spans="1:43" x14ac:dyDescent="0.25">
      <c r="A77" t="s">
        <v>33</v>
      </c>
      <c r="B77" s="4" t="s">
        <v>32</v>
      </c>
      <c r="C77" s="11" t="s">
        <v>42</v>
      </c>
      <c r="D77" s="12">
        <v>0</v>
      </c>
      <c r="E77" s="13">
        <f>7+1/6</f>
        <v>7.166666666666667</v>
      </c>
      <c r="F77" s="12">
        <v>12</v>
      </c>
      <c r="G77" s="13">
        <v>8</v>
      </c>
      <c r="H77" s="12">
        <v>9</v>
      </c>
      <c r="I77" s="13">
        <v>10</v>
      </c>
      <c r="J77" s="12">
        <v>10</v>
      </c>
      <c r="K77" s="8">
        <f>(8670+1315+275+145+225)*1.03</f>
        <v>10948.9</v>
      </c>
      <c r="L77" s="1">
        <v>0</v>
      </c>
      <c r="M77" s="1">
        <v>19</v>
      </c>
      <c r="N77" s="1">
        <v>48</v>
      </c>
      <c r="O77" s="1">
        <v>15</v>
      </c>
      <c r="P77" s="1">
        <v>23</v>
      </c>
      <c r="Q77" s="1">
        <v>33</v>
      </c>
      <c r="R77" s="1">
        <v>8</v>
      </c>
      <c r="S77" s="10">
        <f t="shared" si="29"/>
        <v>146</v>
      </c>
      <c r="U77" t="s">
        <v>33</v>
      </c>
      <c r="V77" s="4" t="s">
        <v>32</v>
      </c>
      <c r="W77" s="11" t="s">
        <v>42</v>
      </c>
      <c r="X77" s="12">
        <v>0</v>
      </c>
      <c r="Y77" s="13">
        <f>7+1/6</f>
        <v>7.166666666666667</v>
      </c>
      <c r="Z77" s="12">
        <v>12</v>
      </c>
      <c r="AA77" s="13">
        <v>8</v>
      </c>
      <c r="AB77" s="12">
        <v>9</v>
      </c>
      <c r="AC77" s="13">
        <v>10</v>
      </c>
      <c r="AD77" s="12">
        <v>19</v>
      </c>
      <c r="AE77" s="8">
        <f>(8670+1315+275+145+225)*1.06</f>
        <v>11267.800000000001</v>
      </c>
      <c r="AF77" s="1">
        <v>0</v>
      </c>
      <c r="AG77" s="1">
        <v>19</v>
      </c>
      <c r="AH77" s="1">
        <v>48</v>
      </c>
      <c r="AI77" s="1">
        <v>15</v>
      </c>
      <c r="AJ77" s="1">
        <v>23</v>
      </c>
      <c r="AK77" s="1">
        <v>33</v>
      </c>
      <c r="AL77" s="1">
        <v>33</v>
      </c>
      <c r="AM77" s="10">
        <f t="shared" si="30"/>
        <v>171</v>
      </c>
    </row>
    <row r="78" spans="1:43" x14ac:dyDescent="0.25">
      <c r="A78" t="s">
        <v>34</v>
      </c>
      <c r="B78" s="4" t="s">
        <v>32</v>
      </c>
      <c r="C78" s="11" t="s">
        <v>73</v>
      </c>
      <c r="D78" s="12">
        <v>0</v>
      </c>
      <c r="E78" s="13">
        <f>7+1/6</f>
        <v>7.166666666666667</v>
      </c>
      <c r="F78" s="12">
        <v>12</v>
      </c>
      <c r="G78" s="13">
        <v>8</v>
      </c>
      <c r="H78" s="12">
        <v>9</v>
      </c>
      <c r="I78" s="13">
        <v>10</v>
      </c>
      <c r="J78" s="12">
        <v>10</v>
      </c>
      <c r="K78" s="8">
        <f>(8670+1315+275+145+225)*1.03</f>
        <v>10948.9</v>
      </c>
      <c r="L78" s="1">
        <v>0</v>
      </c>
      <c r="M78" s="1">
        <v>19</v>
      </c>
      <c r="N78" s="1">
        <v>48</v>
      </c>
      <c r="O78" s="1">
        <v>15</v>
      </c>
      <c r="P78" s="1">
        <v>23</v>
      </c>
      <c r="Q78" s="1">
        <v>33</v>
      </c>
      <c r="R78" s="1">
        <v>8</v>
      </c>
      <c r="S78" s="10">
        <f>SUM(L78:R78)</f>
        <v>146</v>
      </c>
      <c r="U78" t="s">
        <v>34</v>
      </c>
      <c r="V78" s="4" t="s">
        <v>32</v>
      </c>
      <c r="W78" s="11" t="s">
        <v>73</v>
      </c>
      <c r="X78" s="12">
        <v>0</v>
      </c>
      <c r="Y78" s="13">
        <f>7+1/6</f>
        <v>7.166666666666667</v>
      </c>
      <c r="Z78" s="12">
        <v>12</v>
      </c>
      <c r="AA78" s="13">
        <v>8</v>
      </c>
      <c r="AB78" s="12">
        <v>9</v>
      </c>
      <c r="AC78" s="13">
        <v>10</v>
      </c>
      <c r="AD78" s="12">
        <v>19</v>
      </c>
      <c r="AE78" s="8">
        <f>(8670+1315+275+145+225)*1.06</f>
        <v>11267.800000000001</v>
      </c>
      <c r="AF78" s="1">
        <v>0</v>
      </c>
      <c r="AG78" s="1">
        <v>19</v>
      </c>
      <c r="AH78" s="1">
        <v>48</v>
      </c>
      <c r="AI78" s="1">
        <v>15</v>
      </c>
      <c r="AJ78" s="1">
        <v>23</v>
      </c>
      <c r="AK78" s="1">
        <v>33</v>
      </c>
      <c r="AL78" s="1">
        <v>33</v>
      </c>
      <c r="AM78" s="10">
        <f>SUM(AF78:AL78)</f>
        <v>171</v>
      </c>
      <c r="AO78" t="s">
        <v>83</v>
      </c>
      <c r="AP78" s="26" t="s">
        <v>84</v>
      </c>
    </row>
    <row r="79" spans="1:43" x14ac:dyDescent="0.25">
      <c r="A79" t="s">
        <v>35</v>
      </c>
      <c r="B79" s="4" t="s">
        <v>32</v>
      </c>
      <c r="C79" s="11" t="s">
        <v>42</v>
      </c>
      <c r="D79" s="12">
        <v>0</v>
      </c>
      <c r="E79" s="13">
        <f>7+1/6</f>
        <v>7.166666666666667</v>
      </c>
      <c r="F79" s="12">
        <v>12</v>
      </c>
      <c r="G79" s="13">
        <v>8</v>
      </c>
      <c r="H79" s="12">
        <v>9</v>
      </c>
      <c r="I79" s="13">
        <v>10</v>
      </c>
      <c r="J79" s="12">
        <v>10</v>
      </c>
      <c r="K79" s="8">
        <f>(8670+1315+275+145+225)*1.03</f>
        <v>10948.9</v>
      </c>
      <c r="L79" s="1">
        <v>0</v>
      </c>
      <c r="M79" s="1">
        <v>19</v>
      </c>
      <c r="N79" s="1">
        <v>48</v>
      </c>
      <c r="O79" s="1">
        <v>15</v>
      </c>
      <c r="P79" s="1">
        <v>23</v>
      </c>
      <c r="Q79" s="1">
        <v>33</v>
      </c>
      <c r="R79" s="1">
        <v>8</v>
      </c>
      <c r="S79" s="10">
        <f>SUM(L79:R79)</f>
        <v>146</v>
      </c>
      <c r="U79" t="s">
        <v>35</v>
      </c>
      <c r="V79" s="4" t="s">
        <v>32</v>
      </c>
      <c r="W79" s="11" t="s">
        <v>42</v>
      </c>
      <c r="X79" s="12">
        <v>0</v>
      </c>
      <c r="Y79" s="13">
        <f>7+1/6</f>
        <v>7.166666666666667</v>
      </c>
      <c r="Z79" s="12">
        <v>12</v>
      </c>
      <c r="AA79" s="13">
        <v>8</v>
      </c>
      <c r="AB79" s="12">
        <v>9</v>
      </c>
      <c r="AC79" s="13">
        <v>10</v>
      </c>
      <c r="AD79" s="12">
        <v>19</v>
      </c>
      <c r="AE79" s="8">
        <f>(8670+1315+275+145+225)*1.06</f>
        <v>11267.800000000001</v>
      </c>
      <c r="AF79" s="1">
        <v>0</v>
      </c>
      <c r="AG79" s="1">
        <v>19</v>
      </c>
      <c r="AH79" s="1">
        <v>48</v>
      </c>
      <c r="AI79" s="1">
        <v>15</v>
      </c>
      <c r="AJ79" s="1">
        <v>23</v>
      </c>
      <c r="AK79" s="1">
        <v>33</v>
      </c>
      <c r="AL79" s="1">
        <v>33</v>
      </c>
      <c r="AM79" s="10">
        <f>SUM(AF79:AL79)</f>
        <v>171</v>
      </c>
      <c r="AO79">
        <f>33-8</f>
        <v>25</v>
      </c>
      <c r="AP79" s="27">
        <f>AO79/16</f>
        <v>1.5625</v>
      </c>
      <c r="AQ79" t="s">
        <v>85</v>
      </c>
    </row>
    <row r="80" spans="1:43" x14ac:dyDescent="0.25">
      <c r="A80" t="s">
        <v>37</v>
      </c>
      <c r="B80" s="4"/>
      <c r="C80" s="11"/>
      <c r="D80" s="12">
        <v>0</v>
      </c>
      <c r="E80" s="13">
        <v>2</v>
      </c>
      <c r="F80" s="12">
        <v>2</v>
      </c>
      <c r="G80" s="13">
        <v>2</v>
      </c>
      <c r="H80" s="12">
        <v>2</v>
      </c>
      <c r="I80" s="13">
        <v>2</v>
      </c>
      <c r="J80" s="12">
        <v>2</v>
      </c>
      <c r="K80" s="8"/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0">
        <f t="shared" ref="S80:S81" si="31">SUM(L80:R80)</f>
        <v>0</v>
      </c>
      <c r="U80" t="s">
        <v>37</v>
      </c>
      <c r="V80" s="4"/>
      <c r="W80" s="11"/>
      <c r="X80" s="12">
        <v>0</v>
      </c>
      <c r="Y80" s="13">
        <v>2</v>
      </c>
      <c r="Z80" s="12">
        <v>2</v>
      </c>
      <c r="AA80" s="13">
        <v>2</v>
      </c>
      <c r="AB80" s="12">
        <v>2</v>
      </c>
      <c r="AC80" s="13">
        <v>2</v>
      </c>
      <c r="AD80" s="12">
        <v>2</v>
      </c>
      <c r="AE80" s="8"/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0">
        <f t="shared" ref="AM80:AM81" si="32">SUM(AF80:AL80)</f>
        <v>0</v>
      </c>
    </row>
    <row r="81" spans="1:39" x14ac:dyDescent="0.25">
      <c r="A81" t="s">
        <v>121</v>
      </c>
      <c r="B81" s="4"/>
      <c r="C81" s="11"/>
      <c r="D81" s="12">
        <v>0</v>
      </c>
      <c r="E81" s="13">
        <v>2</v>
      </c>
      <c r="F81" s="12">
        <v>2</v>
      </c>
      <c r="G81" s="13">
        <v>2</v>
      </c>
      <c r="H81" s="12">
        <v>2</v>
      </c>
      <c r="I81" s="13">
        <v>2</v>
      </c>
      <c r="J81" s="12">
        <v>2</v>
      </c>
      <c r="K81" s="8"/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0">
        <f t="shared" si="31"/>
        <v>0</v>
      </c>
      <c r="U81" t="s">
        <v>121</v>
      </c>
      <c r="V81" s="4"/>
      <c r="W81" s="11"/>
      <c r="X81" s="12">
        <v>0</v>
      </c>
      <c r="Y81" s="13">
        <v>2</v>
      </c>
      <c r="Z81" s="12">
        <v>2</v>
      </c>
      <c r="AA81" s="13">
        <v>2</v>
      </c>
      <c r="AB81" s="12">
        <v>2</v>
      </c>
      <c r="AC81" s="13">
        <v>2</v>
      </c>
      <c r="AD81" s="12">
        <v>2</v>
      </c>
      <c r="AE81" s="8"/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0">
        <f t="shared" si="32"/>
        <v>0</v>
      </c>
    </row>
    <row r="82" spans="1:39" x14ac:dyDescent="0.25">
      <c r="K82" s="28"/>
    </row>
    <row r="83" spans="1:39" x14ac:dyDescent="0.25">
      <c r="K83" s="28"/>
    </row>
    <row r="84" spans="1:39" x14ac:dyDescent="0.25">
      <c r="K84" s="28"/>
    </row>
    <row r="85" spans="1:39" x14ac:dyDescent="0.25">
      <c r="K85" s="28"/>
    </row>
    <row r="86" spans="1:39" x14ac:dyDescent="0.25">
      <c r="K86" s="28"/>
    </row>
    <row r="87" spans="1:39" x14ac:dyDescent="0.25">
      <c r="K87" s="28"/>
    </row>
    <row r="88" spans="1:39" x14ac:dyDescent="0.25">
      <c r="K88" s="28"/>
    </row>
    <row r="89" spans="1:39" x14ac:dyDescent="0.25">
      <c r="K89" s="28"/>
    </row>
    <row r="90" spans="1:39" x14ac:dyDescent="0.25">
      <c r="K90" s="28"/>
    </row>
    <row r="91" spans="1:39" x14ac:dyDescent="0.25">
      <c r="K91" s="28"/>
    </row>
    <row r="92" spans="1:39" x14ac:dyDescent="0.25">
      <c r="K92" s="28"/>
    </row>
    <row r="93" spans="1:39" x14ac:dyDescent="0.25">
      <c r="K93" s="28"/>
    </row>
    <row r="94" spans="1:39" x14ac:dyDescent="0.25">
      <c r="K94" s="28"/>
    </row>
    <row r="95" spans="1:39" x14ac:dyDescent="0.25">
      <c r="K95" s="28"/>
    </row>
    <row r="96" spans="1:39" x14ac:dyDescent="0.25">
      <c r="K96" s="28"/>
    </row>
    <row r="97" spans="11:11" x14ac:dyDescent="0.25">
      <c r="K97" s="28"/>
    </row>
    <row r="98" spans="11:11" x14ac:dyDescent="0.25">
      <c r="K98" s="28"/>
    </row>
    <row r="99" spans="11:11" x14ac:dyDescent="0.25">
      <c r="K99" s="28"/>
    </row>
    <row r="100" spans="11:11" x14ac:dyDescent="0.25">
      <c r="K100" s="28"/>
    </row>
    <row r="101" spans="11:11" x14ac:dyDescent="0.25">
      <c r="K101" s="28"/>
    </row>
    <row r="102" spans="11:11" x14ac:dyDescent="0.25">
      <c r="K102" s="28"/>
    </row>
    <row r="103" spans="11:11" x14ac:dyDescent="0.25">
      <c r="K103" s="28"/>
    </row>
    <row r="104" spans="11:11" x14ac:dyDescent="0.25">
      <c r="K104" s="28"/>
    </row>
    <row r="105" spans="11:11" x14ac:dyDescent="0.25">
      <c r="K105" s="28"/>
    </row>
    <row r="106" spans="11:11" x14ac:dyDescent="0.25">
      <c r="K106" s="28"/>
    </row>
    <row r="107" spans="11:11" x14ac:dyDescent="0.25">
      <c r="K107" s="28"/>
    </row>
    <row r="108" spans="11:11" x14ac:dyDescent="0.25">
      <c r="K108" s="28"/>
    </row>
    <row r="109" spans="11:11" x14ac:dyDescent="0.25">
      <c r="K109" s="28"/>
    </row>
    <row r="110" spans="11:11" x14ac:dyDescent="0.25">
      <c r="K110" s="28"/>
    </row>
    <row r="111" spans="11:11" x14ac:dyDescent="0.25">
      <c r="K111" s="28"/>
    </row>
    <row r="112" spans="11:11" x14ac:dyDescent="0.25">
      <c r="K112" s="28"/>
    </row>
    <row r="113" spans="11:11" x14ac:dyDescent="0.25">
      <c r="K113" s="28"/>
    </row>
    <row r="114" spans="11:11" x14ac:dyDescent="0.25">
      <c r="K114" s="28"/>
    </row>
    <row r="115" spans="11:11" x14ac:dyDescent="0.25">
      <c r="K115" s="28"/>
    </row>
    <row r="116" spans="11:11" x14ac:dyDescent="0.25">
      <c r="K116" s="28"/>
    </row>
    <row r="117" spans="11:11" x14ac:dyDescent="0.25">
      <c r="K117" s="28"/>
    </row>
    <row r="118" spans="11:11" x14ac:dyDescent="0.25">
      <c r="K118" s="28"/>
    </row>
    <row r="119" spans="11:11" x14ac:dyDescent="0.25">
      <c r="K119" s="28"/>
    </row>
    <row r="120" spans="11:11" x14ac:dyDescent="0.25">
      <c r="K120" s="28"/>
    </row>
    <row r="121" spans="11:11" x14ac:dyDescent="0.25">
      <c r="K121" s="28"/>
    </row>
    <row r="122" spans="11:11" x14ac:dyDescent="0.25">
      <c r="K122" s="28"/>
    </row>
    <row r="123" spans="11:11" x14ac:dyDescent="0.25">
      <c r="K123" s="28"/>
    </row>
    <row r="124" spans="11:11" x14ac:dyDescent="0.25">
      <c r="K124" s="28"/>
    </row>
    <row r="125" spans="11:11" x14ac:dyDescent="0.25">
      <c r="K125" s="28"/>
    </row>
    <row r="126" spans="11:11" x14ac:dyDescent="0.25">
      <c r="K126" s="28"/>
    </row>
    <row r="127" spans="11:11" x14ac:dyDescent="0.25">
      <c r="K127" s="28"/>
    </row>
    <row r="128" spans="11:11" x14ac:dyDescent="0.25">
      <c r="K128" s="28"/>
    </row>
    <row r="129" spans="11:11" x14ac:dyDescent="0.25">
      <c r="K129" s="28"/>
    </row>
    <row r="130" spans="11:11" x14ac:dyDescent="0.25">
      <c r="K130" s="28"/>
    </row>
    <row r="131" spans="11:11" x14ac:dyDescent="0.25">
      <c r="K131" s="28"/>
    </row>
    <row r="132" spans="11:11" x14ac:dyDescent="0.25">
      <c r="K132" s="28"/>
    </row>
    <row r="133" spans="11:11" x14ac:dyDescent="0.25">
      <c r="K133" s="28"/>
    </row>
    <row r="134" spans="11:11" x14ac:dyDescent="0.25">
      <c r="K134" s="28"/>
    </row>
    <row r="135" spans="11:11" x14ac:dyDescent="0.25">
      <c r="K135" s="28"/>
    </row>
    <row r="136" spans="11:11" x14ac:dyDescent="0.25">
      <c r="K136" s="28"/>
    </row>
    <row r="137" spans="11:11" x14ac:dyDescent="0.25">
      <c r="K137" s="28"/>
    </row>
    <row r="138" spans="11:11" x14ac:dyDescent="0.25">
      <c r="K138" s="28"/>
    </row>
    <row r="139" spans="11:11" x14ac:dyDescent="0.25">
      <c r="K139" s="28"/>
    </row>
    <row r="140" spans="11:11" x14ac:dyDescent="0.25">
      <c r="K140" s="28"/>
    </row>
    <row r="141" spans="11:11" x14ac:dyDescent="0.25">
      <c r="K141" s="28"/>
    </row>
    <row r="142" spans="11:11" x14ac:dyDescent="0.25">
      <c r="K142" s="28"/>
    </row>
    <row r="143" spans="11:11" x14ac:dyDescent="0.25">
      <c r="K143" s="28"/>
    </row>
    <row r="144" spans="11:11" x14ac:dyDescent="0.25">
      <c r="K144" s="28"/>
    </row>
    <row r="145" spans="11:11" x14ac:dyDescent="0.25">
      <c r="K145" s="28"/>
    </row>
    <row r="146" spans="11:11" x14ac:dyDescent="0.25">
      <c r="K146" s="28"/>
    </row>
    <row r="147" spans="11:11" x14ac:dyDescent="0.25">
      <c r="K147" s="28"/>
    </row>
    <row r="148" spans="11:11" x14ac:dyDescent="0.25">
      <c r="K148" s="28"/>
    </row>
    <row r="149" spans="11:11" x14ac:dyDescent="0.25">
      <c r="K149" s="28"/>
    </row>
    <row r="150" spans="11:11" x14ac:dyDescent="0.25">
      <c r="K150" s="28"/>
    </row>
    <row r="151" spans="11:11" x14ac:dyDescent="0.25">
      <c r="K151" s="28"/>
    </row>
    <row r="152" spans="11:11" x14ac:dyDescent="0.25">
      <c r="K152" s="28"/>
    </row>
    <row r="153" spans="11:11" x14ac:dyDescent="0.25">
      <c r="K153" s="28"/>
    </row>
    <row r="154" spans="11:11" x14ac:dyDescent="0.25">
      <c r="K154" s="28"/>
    </row>
    <row r="155" spans="11:11" x14ac:dyDescent="0.25">
      <c r="K155" s="28"/>
    </row>
    <row r="156" spans="11:11" x14ac:dyDescent="0.25">
      <c r="K156" s="28"/>
    </row>
    <row r="157" spans="11:11" x14ac:dyDescent="0.25">
      <c r="K157" s="28"/>
    </row>
    <row r="158" spans="11:11" x14ac:dyDescent="0.25">
      <c r="K158" s="28"/>
    </row>
    <row r="159" spans="11:11" x14ac:dyDescent="0.25">
      <c r="K159" s="28"/>
    </row>
    <row r="160" spans="11:11" x14ac:dyDescent="0.25">
      <c r="K160" s="28"/>
    </row>
    <row r="161" spans="11:11" x14ac:dyDescent="0.25">
      <c r="K161" s="28"/>
    </row>
    <row r="162" spans="11:11" x14ac:dyDescent="0.25">
      <c r="K162" s="28"/>
    </row>
    <row r="163" spans="11:11" x14ac:dyDescent="0.25">
      <c r="K163" s="28"/>
    </row>
    <row r="164" spans="11:11" x14ac:dyDescent="0.25">
      <c r="K164" s="28"/>
    </row>
    <row r="165" spans="11:11" x14ac:dyDescent="0.25">
      <c r="K165" s="28"/>
    </row>
    <row r="166" spans="11:11" x14ac:dyDescent="0.25">
      <c r="K166" s="28"/>
    </row>
    <row r="167" spans="11:11" x14ac:dyDescent="0.25">
      <c r="K167" s="28"/>
    </row>
    <row r="168" spans="11:11" x14ac:dyDescent="0.25">
      <c r="K168" s="28"/>
    </row>
    <row r="169" spans="11:11" x14ac:dyDescent="0.25">
      <c r="K169" s="28"/>
    </row>
    <row r="170" spans="11:11" x14ac:dyDescent="0.25">
      <c r="K170" s="28"/>
    </row>
    <row r="171" spans="11:11" x14ac:dyDescent="0.25">
      <c r="K171" s="28"/>
    </row>
    <row r="172" spans="11:11" x14ac:dyDescent="0.25">
      <c r="K172" s="28"/>
    </row>
    <row r="173" spans="11:11" x14ac:dyDescent="0.25">
      <c r="K173" s="28"/>
    </row>
  </sheetData>
  <conditionalFormatting sqref="L12:R27">
    <cfRule type="colorScale" priority="33">
      <colorScale>
        <cfvo type="min"/>
        <cfvo type="max"/>
        <color rgb="FFFCFCFF"/>
        <color rgb="FF63BE7B"/>
      </colorScale>
    </cfRule>
  </conditionalFormatting>
  <conditionalFormatting sqref="D12:J27">
    <cfRule type="colorScale" priority="32">
      <colorScale>
        <cfvo type="min"/>
        <cfvo type="max"/>
        <color rgb="FFFFEF9C"/>
        <color rgb="FF63BE7B"/>
      </colorScale>
    </cfRule>
  </conditionalFormatting>
  <conditionalFormatting sqref="K12:K27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{00213488-BC33-45BE-8134-A1A58A135F4E}</x14:id>
        </ext>
      </extLst>
    </cfRule>
  </conditionalFormatting>
  <conditionalFormatting sqref="AF12:AL27">
    <cfRule type="colorScale" priority="30">
      <colorScale>
        <cfvo type="min"/>
        <cfvo type="max"/>
        <color rgb="FFFCFCFF"/>
        <color rgb="FF63BE7B"/>
      </colorScale>
    </cfRule>
  </conditionalFormatting>
  <conditionalFormatting sqref="X12:AD27">
    <cfRule type="colorScale" priority="29">
      <colorScale>
        <cfvo type="min"/>
        <cfvo type="max"/>
        <color rgb="FFFFEF9C"/>
        <color rgb="FF63BE7B"/>
      </colorScale>
    </cfRule>
  </conditionalFormatting>
  <conditionalFormatting sqref="AE12:AE27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{E0D50610-E838-4235-B267-E0584DB19A1D}</x14:id>
        </ext>
      </extLst>
    </cfRule>
  </conditionalFormatting>
  <conditionalFormatting sqref="L30:R45">
    <cfRule type="colorScale" priority="24">
      <colorScale>
        <cfvo type="min"/>
        <cfvo type="max"/>
        <color rgb="FFFCFCFF"/>
        <color rgb="FF63BE7B"/>
      </colorScale>
    </cfRule>
  </conditionalFormatting>
  <conditionalFormatting sqref="D30:J45">
    <cfRule type="colorScale" priority="23">
      <colorScale>
        <cfvo type="min"/>
        <cfvo type="max"/>
        <color rgb="FFFFEF9C"/>
        <color rgb="FF63BE7B"/>
      </colorScale>
    </cfRule>
  </conditionalFormatting>
  <conditionalFormatting sqref="K30:K4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{AF569A54-936E-48E9-8DC7-8AF153D7DA97}</x14:id>
        </ext>
      </extLst>
    </cfRule>
  </conditionalFormatting>
  <conditionalFormatting sqref="AF30:AL45">
    <cfRule type="colorScale" priority="21">
      <colorScale>
        <cfvo type="min"/>
        <cfvo type="max"/>
        <color rgb="FFFCFCFF"/>
        <color rgb="FF63BE7B"/>
      </colorScale>
    </cfRule>
  </conditionalFormatting>
  <conditionalFormatting sqref="X30:AD45">
    <cfRule type="colorScale" priority="20">
      <colorScale>
        <cfvo type="min"/>
        <cfvo type="max"/>
        <color rgb="FFFFEF9C"/>
        <color rgb="FF63BE7B"/>
      </colorScale>
    </cfRule>
  </conditionalFormatting>
  <conditionalFormatting sqref="AE30:AE45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{4F4233DE-AAE5-4187-A330-BAE735578B31}</x14:id>
        </ext>
      </extLst>
    </cfRule>
  </conditionalFormatting>
  <conditionalFormatting sqref="L48:R63">
    <cfRule type="colorScale" priority="18">
      <colorScale>
        <cfvo type="min"/>
        <cfvo type="max"/>
        <color rgb="FFFCFCFF"/>
        <color rgb="FF63BE7B"/>
      </colorScale>
    </cfRule>
  </conditionalFormatting>
  <conditionalFormatting sqref="D48:J63">
    <cfRule type="colorScale" priority="17">
      <colorScale>
        <cfvo type="min"/>
        <cfvo type="max"/>
        <color rgb="FFFFEF9C"/>
        <color rgb="FF63BE7B"/>
      </colorScale>
    </cfRule>
  </conditionalFormatting>
  <conditionalFormatting sqref="K48:K63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{50D55A97-364A-4B70-9AF5-B58956B32727}</x14:id>
        </ext>
      </extLst>
    </cfRule>
  </conditionalFormatting>
  <conditionalFormatting sqref="AF48:AL63">
    <cfRule type="colorScale" priority="12">
      <colorScale>
        <cfvo type="min"/>
        <cfvo type="max"/>
        <color rgb="FFFCFCFF"/>
        <color rgb="FF63BE7B"/>
      </colorScale>
    </cfRule>
  </conditionalFormatting>
  <conditionalFormatting sqref="X48:AD63">
    <cfRule type="colorScale" priority="11">
      <colorScale>
        <cfvo type="min"/>
        <cfvo type="max"/>
        <color rgb="FFFFEF9C"/>
        <color rgb="FF63BE7B"/>
      </colorScale>
    </cfRule>
  </conditionalFormatting>
  <conditionalFormatting sqref="AE48:AE63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{99A7AD79-0B16-4FF3-A712-822B00891BB2}</x14:id>
        </ext>
      </extLst>
    </cfRule>
  </conditionalFormatting>
  <conditionalFormatting sqref="L66:R81">
    <cfRule type="colorScale" priority="6">
      <colorScale>
        <cfvo type="min"/>
        <cfvo type="max"/>
        <color rgb="FFFCFCFF"/>
        <color rgb="FF63BE7B"/>
      </colorScale>
    </cfRule>
  </conditionalFormatting>
  <conditionalFormatting sqref="D66:J81">
    <cfRule type="colorScale" priority="5">
      <colorScale>
        <cfvo type="min"/>
        <cfvo type="max"/>
        <color rgb="FFFFEF9C"/>
        <color rgb="FF63BE7B"/>
      </colorScale>
    </cfRule>
  </conditionalFormatting>
  <conditionalFormatting sqref="K66:K8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{5D42C356-3CA8-47C1-B466-FBFC46A714B2}</x14:id>
        </ext>
      </extLst>
    </cfRule>
  </conditionalFormatting>
  <conditionalFormatting sqref="AF66:AL81">
    <cfRule type="colorScale" priority="3">
      <colorScale>
        <cfvo type="min"/>
        <cfvo type="max"/>
        <color rgb="FFFCFCFF"/>
        <color rgb="FF63BE7B"/>
      </colorScale>
    </cfRule>
  </conditionalFormatting>
  <conditionalFormatting sqref="X66:AD81">
    <cfRule type="colorScale" priority="2">
      <colorScale>
        <cfvo type="min"/>
        <cfvo type="max"/>
        <color rgb="FFFFEF9C"/>
        <color rgb="FF63BE7B"/>
      </colorScale>
    </cfRule>
  </conditionalFormatting>
  <conditionalFormatting sqref="AE66:AE8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{8502DE3C-1C4D-443C-8AB0-075F4C7B1FA4}</x14:id>
        </ext>
      </extLst>
    </cfRule>
  </conditionalFormatting>
  <conditionalFormatting sqref="L3:R9">
    <cfRule type="colorScale" priority="69">
      <colorScale>
        <cfvo type="min"/>
        <cfvo type="max"/>
        <color rgb="FFFCFCFF"/>
        <color rgb="FF63BE7B"/>
      </colorScale>
    </cfRule>
  </conditionalFormatting>
  <conditionalFormatting sqref="D3:J9">
    <cfRule type="colorScale" priority="70">
      <colorScale>
        <cfvo type="min"/>
        <cfvo type="max"/>
        <color rgb="FFFFEF9C"/>
        <color rgb="FF63BE7B"/>
      </colorScale>
    </cfRule>
  </conditionalFormatting>
  <conditionalFormatting sqref="K3:K9">
    <cfRule type="dataBar" priority="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{A31E3118-C81F-44AB-A21D-1F112FFC9EFD}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213488-BC33-45BE-8134-A1A58A135F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K12:K27</xm:sqref>
        </x14:conditionalFormatting>
        <x14:conditionalFormatting xmlns:xm="http://schemas.microsoft.com/office/excel/2006/main">
          <x14:cfRule type="dataBar" id="{E0D50610-E838-4235-B267-E0584DB19A1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AE12:AE27</xm:sqref>
        </x14:conditionalFormatting>
        <x14:conditionalFormatting xmlns:xm="http://schemas.microsoft.com/office/excel/2006/main">
          <x14:cfRule type="dataBar" id="{AF569A54-936E-48E9-8DC7-8AF153D7DA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K30:K45</xm:sqref>
        </x14:conditionalFormatting>
        <x14:conditionalFormatting xmlns:xm="http://schemas.microsoft.com/office/excel/2006/main">
          <x14:cfRule type="dataBar" id="{4F4233DE-AAE5-4187-A330-BAE735578B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AE30:AE45</xm:sqref>
        </x14:conditionalFormatting>
        <x14:conditionalFormatting xmlns:xm="http://schemas.microsoft.com/office/excel/2006/main">
          <x14:cfRule type="dataBar" id="{50D55A97-364A-4B70-9AF5-B58956B327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K48:K63</xm:sqref>
        </x14:conditionalFormatting>
        <x14:conditionalFormatting xmlns:xm="http://schemas.microsoft.com/office/excel/2006/main">
          <x14:cfRule type="dataBar" id="{99A7AD79-0B16-4FF3-A712-822B00891BB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AE48:AE63</xm:sqref>
        </x14:conditionalFormatting>
        <x14:conditionalFormatting xmlns:xm="http://schemas.microsoft.com/office/excel/2006/main">
          <x14:cfRule type="dataBar" id="{5D42C356-3CA8-47C1-B466-FBFC46A714B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K66:K81</xm:sqref>
        </x14:conditionalFormatting>
        <x14:conditionalFormatting xmlns:xm="http://schemas.microsoft.com/office/excel/2006/main">
          <x14:cfRule type="dataBar" id="{8502DE3C-1C4D-443C-8AB0-075F4C7B1F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AE66:AE81</xm:sqref>
        </x14:conditionalFormatting>
        <x14:conditionalFormatting xmlns:xm="http://schemas.microsoft.com/office/excel/2006/main">
          <x14:cfRule type="dataBar" id="{A31E3118-C81F-44AB-A21D-1F112FFC9EF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s="29" t="s">
        <v>78</v>
      </c>
    </row>
    <row r="2" spans="1:1" x14ac:dyDescent="0.25">
      <c r="A2" t="s">
        <v>118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117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2" sqref="J12"/>
    </sheetView>
  </sheetViews>
  <sheetFormatPr baseColWidth="10" defaultRowHeight="15" x14ac:dyDescent="0.25"/>
  <cols>
    <col min="1" max="1" width="4.7109375" bestFit="1" customWidth="1"/>
    <col min="2" max="2" width="5.5703125" bestFit="1" customWidth="1"/>
    <col min="3" max="3" width="3.5703125" bestFit="1" customWidth="1"/>
    <col min="4" max="4" width="6" bestFit="1" customWidth="1"/>
    <col min="5" max="5" width="5.140625" bestFit="1" customWidth="1"/>
    <col min="6" max="6" width="6" bestFit="1" customWidth="1"/>
    <col min="7" max="7" width="5" bestFit="1" customWidth="1"/>
    <col min="8" max="9" width="3.5703125" bestFit="1" customWidth="1"/>
    <col min="10" max="10" width="12" bestFit="1" customWidth="1"/>
    <col min="11" max="11" width="5.7109375" bestFit="1" customWidth="1"/>
    <col min="12" max="12" width="5.28515625" bestFit="1" customWidth="1"/>
    <col min="13" max="13" width="6.28515625" bestFit="1" customWidth="1"/>
    <col min="14" max="14" width="5.42578125" bestFit="1" customWidth="1"/>
    <col min="15" max="15" width="9.140625" bestFit="1" customWidth="1"/>
    <col min="16" max="16" width="9.42578125" bestFit="1" customWidth="1"/>
  </cols>
  <sheetData>
    <row r="1" spans="1:16" x14ac:dyDescent="0.25">
      <c r="A1" s="3" t="s">
        <v>90</v>
      </c>
      <c r="B1" s="3" t="s">
        <v>91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92</v>
      </c>
      <c r="K1" s="3" t="s">
        <v>12</v>
      </c>
      <c r="L1" s="3" t="s">
        <v>13</v>
      </c>
      <c r="M1" s="3" t="s">
        <v>111</v>
      </c>
      <c r="N1" s="3" t="s">
        <v>15</v>
      </c>
      <c r="O1" s="3" t="s">
        <v>18</v>
      </c>
      <c r="P1" s="3" t="s">
        <v>93</v>
      </c>
    </row>
    <row r="2" spans="1:16" x14ac:dyDescent="0.25">
      <c r="A2" s="1" t="s">
        <v>109</v>
      </c>
      <c r="B2" s="30">
        <v>20</v>
      </c>
      <c r="C2" s="6">
        <v>0</v>
      </c>
      <c r="D2" s="7">
        <v>10</v>
      </c>
      <c r="E2" s="6" t="s">
        <v>110</v>
      </c>
      <c r="F2" s="7">
        <v>7</v>
      </c>
      <c r="G2" s="6">
        <v>0</v>
      </c>
      <c r="H2" s="7">
        <v>0</v>
      </c>
      <c r="I2" s="6">
        <v>0</v>
      </c>
      <c r="J2" s="31">
        <v>1700000</v>
      </c>
      <c r="K2" s="1">
        <v>37</v>
      </c>
      <c r="L2" s="1">
        <v>6</v>
      </c>
      <c r="M2" s="1">
        <v>11</v>
      </c>
      <c r="N2" s="1">
        <v>0</v>
      </c>
      <c r="O2" s="10">
        <f t="shared" ref="O2:O12" si="0">SUM(K2:N2)</f>
        <v>54</v>
      </c>
      <c r="P2" s="32">
        <f t="shared" ref="P2:P12" si="1">J2/O2</f>
        <v>31481.481481481482</v>
      </c>
    </row>
    <row r="3" spans="1:16" x14ac:dyDescent="0.25">
      <c r="A3" s="1" t="s">
        <v>109</v>
      </c>
      <c r="B3" s="30">
        <v>20</v>
      </c>
      <c r="C3" s="6">
        <v>0</v>
      </c>
      <c r="D3" s="7">
        <v>10</v>
      </c>
      <c r="E3" s="6">
        <v>0</v>
      </c>
      <c r="F3" s="7">
        <v>7</v>
      </c>
      <c r="G3" s="6">
        <v>0</v>
      </c>
      <c r="H3" s="7">
        <v>0</v>
      </c>
      <c r="I3" s="6">
        <v>0</v>
      </c>
      <c r="J3" s="31">
        <v>1500000</v>
      </c>
      <c r="K3" s="1">
        <v>37</v>
      </c>
      <c r="L3" s="1">
        <v>0</v>
      </c>
      <c r="M3" s="1">
        <v>11</v>
      </c>
      <c r="N3" s="1">
        <v>0</v>
      </c>
      <c r="O3" s="10">
        <f t="shared" si="0"/>
        <v>48</v>
      </c>
      <c r="P3" s="32">
        <f t="shared" si="1"/>
        <v>31250</v>
      </c>
    </row>
    <row r="4" spans="1:16" x14ac:dyDescent="0.25">
      <c r="A4" s="1" t="s">
        <v>109</v>
      </c>
      <c r="B4" s="30">
        <v>20</v>
      </c>
      <c r="C4" s="6">
        <v>0</v>
      </c>
      <c r="D4" s="7">
        <v>10</v>
      </c>
      <c r="E4" s="6">
        <v>0</v>
      </c>
      <c r="F4" s="7" t="s">
        <v>112</v>
      </c>
      <c r="G4" s="7" t="s">
        <v>112</v>
      </c>
      <c r="H4" s="7">
        <v>0</v>
      </c>
      <c r="I4" s="6">
        <v>0</v>
      </c>
      <c r="J4" s="31">
        <v>2235000</v>
      </c>
      <c r="K4" s="1">
        <v>37</v>
      </c>
      <c r="L4" s="1">
        <v>0</v>
      </c>
      <c r="M4" s="1">
        <v>11</v>
      </c>
      <c r="N4" s="1">
        <v>10</v>
      </c>
      <c r="O4" s="10">
        <f t="shared" si="0"/>
        <v>58</v>
      </c>
      <c r="P4" s="32">
        <f t="shared" si="1"/>
        <v>38534.482758620688</v>
      </c>
    </row>
    <row r="5" spans="1:16" x14ac:dyDescent="0.25">
      <c r="A5" s="1" t="s">
        <v>109</v>
      </c>
      <c r="B5" s="30">
        <v>20</v>
      </c>
      <c r="C5" s="6">
        <v>0</v>
      </c>
      <c r="D5" s="7">
        <v>10</v>
      </c>
      <c r="E5" s="6" t="s">
        <v>110</v>
      </c>
      <c r="F5" s="7">
        <v>7</v>
      </c>
      <c r="G5" s="6">
        <v>0</v>
      </c>
      <c r="H5" s="7">
        <v>0</v>
      </c>
      <c r="I5" s="6">
        <v>0</v>
      </c>
      <c r="J5" s="31">
        <v>1700000</v>
      </c>
      <c r="K5" s="1">
        <v>37</v>
      </c>
      <c r="L5" s="1">
        <v>6</v>
      </c>
      <c r="M5" s="1">
        <v>11</v>
      </c>
      <c r="N5" s="1">
        <v>0</v>
      </c>
      <c r="O5" s="10">
        <f t="shared" si="0"/>
        <v>54</v>
      </c>
      <c r="P5" s="32">
        <f t="shared" si="1"/>
        <v>31481.481481481482</v>
      </c>
    </row>
    <row r="6" spans="1:16" x14ac:dyDescent="0.25">
      <c r="A6" s="1" t="s">
        <v>109</v>
      </c>
      <c r="B6" s="30">
        <v>20</v>
      </c>
      <c r="C6" s="6">
        <v>0</v>
      </c>
      <c r="D6" s="7">
        <v>9</v>
      </c>
      <c r="E6" s="6" t="s">
        <v>114</v>
      </c>
      <c r="F6" s="7" t="s">
        <v>112</v>
      </c>
      <c r="G6" s="6" t="s">
        <v>113</v>
      </c>
      <c r="H6" s="7">
        <v>0</v>
      </c>
      <c r="I6" s="6">
        <v>0</v>
      </c>
      <c r="J6" s="31">
        <v>1550000</v>
      </c>
      <c r="K6" s="1">
        <v>30</v>
      </c>
      <c r="L6" s="1">
        <v>6</v>
      </c>
      <c r="M6" s="1">
        <v>11</v>
      </c>
      <c r="N6" s="1">
        <v>7</v>
      </c>
      <c r="O6" s="10">
        <f t="shared" si="0"/>
        <v>54</v>
      </c>
      <c r="P6" s="32">
        <f t="shared" si="1"/>
        <v>28703.703703703704</v>
      </c>
    </row>
    <row r="7" spans="1:16" x14ac:dyDescent="0.25">
      <c r="A7" s="1" t="s">
        <v>109</v>
      </c>
      <c r="B7" s="30">
        <v>20</v>
      </c>
      <c r="C7" s="6">
        <v>0</v>
      </c>
      <c r="D7" s="7" t="s">
        <v>104</v>
      </c>
      <c r="E7" s="6">
        <v>0</v>
      </c>
      <c r="F7" s="7">
        <v>9</v>
      </c>
      <c r="G7" s="6">
        <v>0</v>
      </c>
      <c r="H7" s="7">
        <v>0</v>
      </c>
      <c r="I7" s="6">
        <v>0</v>
      </c>
      <c r="J7" s="31">
        <v>1970000</v>
      </c>
      <c r="K7" s="1">
        <v>30</v>
      </c>
      <c r="L7" s="1">
        <v>0</v>
      </c>
      <c r="M7" s="1">
        <v>18</v>
      </c>
      <c r="N7" s="1">
        <v>0</v>
      </c>
      <c r="O7" s="10">
        <f t="shared" si="0"/>
        <v>48</v>
      </c>
      <c r="P7" s="32">
        <f t="shared" si="1"/>
        <v>41041.666666666664</v>
      </c>
    </row>
    <row r="8" spans="1:16" x14ac:dyDescent="0.25">
      <c r="A8" s="1" t="s">
        <v>109</v>
      </c>
      <c r="B8" s="30">
        <v>20</v>
      </c>
      <c r="C8" s="6">
        <v>0</v>
      </c>
      <c r="D8" s="7" t="s">
        <v>104</v>
      </c>
      <c r="E8" s="6" t="s">
        <v>110</v>
      </c>
      <c r="F8" s="7">
        <v>10</v>
      </c>
      <c r="G8" s="6">
        <v>0</v>
      </c>
      <c r="H8" s="7">
        <v>0</v>
      </c>
      <c r="I8" s="6">
        <v>0</v>
      </c>
      <c r="J8" s="31">
        <v>2420000</v>
      </c>
      <c r="K8" s="1">
        <v>30</v>
      </c>
      <c r="L8" s="1">
        <v>6</v>
      </c>
      <c r="M8" s="1">
        <v>23</v>
      </c>
      <c r="N8" s="1">
        <v>0</v>
      </c>
      <c r="O8" s="10">
        <f t="shared" si="0"/>
        <v>59</v>
      </c>
      <c r="P8" s="32">
        <f t="shared" si="1"/>
        <v>41016.949152542373</v>
      </c>
    </row>
    <row r="9" spans="1:16" x14ac:dyDescent="0.25">
      <c r="A9" s="1" t="s">
        <v>109</v>
      </c>
      <c r="B9" s="30">
        <v>21</v>
      </c>
      <c r="C9" s="6">
        <v>0</v>
      </c>
      <c r="D9" s="7">
        <v>10</v>
      </c>
      <c r="E9" s="6">
        <v>0</v>
      </c>
      <c r="F9" s="7" t="s">
        <v>104</v>
      </c>
      <c r="G9" s="6">
        <v>0</v>
      </c>
      <c r="H9" s="7">
        <v>0</v>
      </c>
      <c r="I9" s="6">
        <v>0</v>
      </c>
      <c r="J9" s="31">
        <v>2584000</v>
      </c>
      <c r="K9" s="1">
        <v>37</v>
      </c>
      <c r="L9" s="1">
        <v>6</v>
      </c>
      <c r="M9" s="1">
        <v>18</v>
      </c>
      <c r="N9" s="1">
        <v>0</v>
      </c>
      <c r="O9" s="10">
        <f t="shared" si="0"/>
        <v>61</v>
      </c>
      <c r="P9" s="32">
        <f t="shared" si="1"/>
        <v>42360.655737704918</v>
      </c>
    </row>
    <row r="10" spans="1:16" x14ac:dyDescent="0.25">
      <c r="A10" s="1" t="s">
        <v>109</v>
      </c>
      <c r="B10" s="30">
        <v>21</v>
      </c>
      <c r="C10" s="6">
        <v>0</v>
      </c>
      <c r="D10" s="7">
        <v>10</v>
      </c>
      <c r="E10" s="6">
        <v>0</v>
      </c>
      <c r="F10" s="7">
        <v>7</v>
      </c>
      <c r="G10" s="6">
        <v>0</v>
      </c>
      <c r="H10" s="7">
        <v>0</v>
      </c>
      <c r="I10" s="6">
        <v>0</v>
      </c>
      <c r="J10" s="31">
        <v>1730000</v>
      </c>
      <c r="K10" s="1">
        <v>37</v>
      </c>
      <c r="L10" s="1">
        <v>0</v>
      </c>
      <c r="M10" s="1">
        <v>11</v>
      </c>
      <c r="N10" s="1">
        <v>0</v>
      </c>
      <c r="O10" s="10">
        <f t="shared" si="0"/>
        <v>48</v>
      </c>
      <c r="P10" s="32">
        <f t="shared" si="1"/>
        <v>36041.666666666664</v>
      </c>
    </row>
    <row r="11" spans="1:16" x14ac:dyDescent="0.25">
      <c r="A11" s="1" t="s">
        <v>109</v>
      </c>
      <c r="B11" s="30">
        <v>21</v>
      </c>
      <c r="C11" s="6">
        <v>0</v>
      </c>
      <c r="D11" s="7">
        <v>9</v>
      </c>
      <c r="E11" s="6" t="s">
        <v>115</v>
      </c>
      <c r="F11" s="7" t="s">
        <v>116</v>
      </c>
      <c r="G11" s="6">
        <v>0</v>
      </c>
      <c r="H11" s="7">
        <v>0</v>
      </c>
      <c r="I11" s="6">
        <v>0</v>
      </c>
      <c r="J11" s="31">
        <v>1811000</v>
      </c>
      <c r="K11" s="1">
        <v>30</v>
      </c>
      <c r="L11" s="1">
        <v>12</v>
      </c>
      <c r="M11" s="1">
        <v>15</v>
      </c>
      <c r="N11" s="1">
        <v>0</v>
      </c>
      <c r="O11" s="10">
        <f t="shared" si="0"/>
        <v>57</v>
      </c>
      <c r="P11" s="32">
        <f t="shared" si="1"/>
        <v>31771.929824561405</v>
      </c>
    </row>
    <row r="12" spans="1:16" x14ac:dyDescent="0.25">
      <c r="A12" s="1" t="s">
        <v>109</v>
      </c>
      <c r="B12" s="30">
        <v>21</v>
      </c>
      <c r="C12" s="6">
        <v>0</v>
      </c>
      <c r="D12" s="7">
        <v>9</v>
      </c>
      <c r="E12" s="6">
        <v>0</v>
      </c>
      <c r="F12" s="7">
        <v>7</v>
      </c>
      <c r="G12" s="6">
        <v>0</v>
      </c>
      <c r="H12" s="7">
        <v>0</v>
      </c>
      <c r="I12" s="6">
        <v>0</v>
      </c>
      <c r="J12" s="31">
        <v>1300000</v>
      </c>
      <c r="K12" s="1">
        <v>30</v>
      </c>
      <c r="L12" s="1">
        <v>0</v>
      </c>
      <c r="M12" s="1">
        <v>11</v>
      </c>
      <c r="N12" s="1">
        <v>0</v>
      </c>
      <c r="O12" s="10">
        <f t="shared" si="0"/>
        <v>41</v>
      </c>
      <c r="P12" s="32">
        <f t="shared" si="1"/>
        <v>31707.317073170732</v>
      </c>
    </row>
  </sheetData>
  <sortState ref="A2:P23">
    <sortCondition ref="B2:B23"/>
    <sortCondition descending="1" ref="D2:D23"/>
  </sortState>
  <conditionalFormatting sqref="C2:I12">
    <cfRule type="colorScale" priority="2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sqref="A1:O23"/>
    </sheetView>
  </sheetViews>
  <sheetFormatPr baseColWidth="10" defaultRowHeight="15" x14ac:dyDescent="0.25"/>
  <cols>
    <col min="1" max="1" width="4.7109375" bestFit="1" customWidth="1"/>
    <col min="2" max="2" width="5.5703125" bestFit="1" customWidth="1"/>
    <col min="3" max="4" width="4.5703125" bestFit="1" customWidth="1"/>
    <col min="5" max="8" width="3.5703125" bestFit="1" customWidth="1"/>
    <col min="9" max="9" width="7" bestFit="1" customWidth="1"/>
    <col min="10" max="10" width="13" bestFit="1" customWidth="1"/>
    <col min="11" max="11" width="5.5703125" bestFit="1" customWidth="1"/>
    <col min="12" max="13" width="5.7109375" bestFit="1" customWidth="1"/>
    <col min="14" max="14" width="9.140625" bestFit="1" customWidth="1"/>
    <col min="15" max="15" width="10.42578125" bestFit="1" customWidth="1"/>
  </cols>
  <sheetData>
    <row r="1" spans="1:15" x14ac:dyDescent="0.25">
      <c r="A1" s="3" t="s">
        <v>90</v>
      </c>
      <c r="B1" s="3" t="s">
        <v>91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92</v>
      </c>
      <c r="K1" s="3" t="s">
        <v>11</v>
      </c>
      <c r="L1" s="3" t="s">
        <v>12</v>
      </c>
      <c r="M1" s="3" t="s">
        <v>17</v>
      </c>
      <c r="N1" s="3" t="s">
        <v>18</v>
      </c>
      <c r="O1" s="3" t="s">
        <v>93</v>
      </c>
    </row>
    <row r="2" spans="1:15" x14ac:dyDescent="0.25">
      <c r="A2" s="1" t="s">
        <v>94</v>
      </c>
      <c r="B2" s="30">
        <v>21</v>
      </c>
      <c r="C2" s="6">
        <v>16</v>
      </c>
      <c r="D2" s="7">
        <v>9</v>
      </c>
      <c r="E2" s="6">
        <v>0</v>
      </c>
      <c r="F2" s="7">
        <v>0</v>
      </c>
      <c r="G2" s="6">
        <v>0</v>
      </c>
      <c r="H2" s="7">
        <v>0</v>
      </c>
      <c r="I2" s="6" t="s">
        <v>95</v>
      </c>
      <c r="J2" s="31">
        <v>9950000</v>
      </c>
      <c r="K2" s="1">
        <v>62</v>
      </c>
      <c r="L2" s="1">
        <v>30</v>
      </c>
      <c r="M2" s="1">
        <v>0</v>
      </c>
      <c r="N2" s="10">
        <f t="shared" ref="N2:N49" si="0">SUM(K2:M2)</f>
        <v>92</v>
      </c>
      <c r="O2" s="32">
        <f t="shared" ref="O2:O49" si="1">J2/N2</f>
        <v>108152.17391304347</v>
      </c>
    </row>
    <row r="3" spans="1:15" x14ac:dyDescent="0.25">
      <c r="A3" s="1" t="s">
        <v>94</v>
      </c>
      <c r="B3" s="30">
        <v>20</v>
      </c>
      <c r="C3" s="6">
        <v>16</v>
      </c>
      <c r="D3" s="7">
        <v>4</v>
      </c>
      <c r="E3" s="6">
        <v>0</v>
      </c>
      <c r="F3" s="7">
        <v>0</v>
      </c>
      <c r="G3" s="6">
        <v>0</v>
      </c>
      <c r="H3" s="7">
        <v>0</v>
      </c>
      <c r="I3" s="6" t="s">
        <v>95</v>
      </c>
      <c r="J3" s="31">
        <v>6500000</v>
      </c>
      <c r="K3" s="1">
        <v>62</v>
      </c>
      <c r="L3" s="1">
        <v>6</v>
      </c>
      <c r="M3" s="1">
        <v>0</v>
      </c>
      <c r="N3" s="10">
        <f t="shared" si="0"/>
        <v>68</v>
      </c>
      <c r="O3" s="32">
        <f t="shared" si="1"/>
        <v>95588.23529411765</v>
      </c>
    </row>
    <row r="4" spans="1:15" x14ac:dyDescent="0.25">
      <c r="A4" s="1" t="s">
        <v>94</v>
      </c>
      <c r="B4" s="30">
        <v>21</v>
      </c>
      <c r="C4" s="6">
        <v>16</v>
      </c>
      <c r="D4" s="7">
        <v>2</v>
      </c>
      <c r="E4" s="6">
        <v>0</v>
      </c>
      <c r="F4" s="7">
        <v>0</v>
      </c>
      <c r="G4" s="6">
        <v>0</v>
      </c>
      <c r="H4" s="7">
        <v>0</v>
      </c>
      <c r="I4" s="6" t="s">
        <v>96</v>
      </c>
      <c r="J4" s="31">
        <v>6613000</v>
      </c>
      <c r="K4" s="1">
        <v>62</v>
      </c>
      <c r="L4" s="1">
        <v>0</v>
      </c>
      <c r="M4" s="1">
        <v>2</v>
      </c>
      <c r="N4" s="10">
        <f t="shared" si="0"/>
        <v>64</v>
      </c>
      <c r="O4" s="32">
        <f t="shared" si="1"/>
        <v>103328.125</v>
      </c>
    </row>
    <row r="5" spans="1:15" x14ac:dyDescent="0.25">
      <c r="A5" s="1" t="s">
        <v>94</v>
      </c>
      <c r="B5" s="30">
        <v>21</v>
      </c>
      <c r="C5" s="6">
        <v>15</v>
      </c>
      <c r="D5" s="7">
        <v>8</v>
      </c>
      <c r="E5" s="6">
        <v>0</v>
      </c>
      <c r="F5" s="7">
        <v>0</v>
      </c>
      <c r="G5" s="6">
        <v>0</v>
      </c>
      <c r="H5" s="7">
        <v>0</v>
      </c>
      <c r="I5" s="6" t="s">
        <v>97</v>
      </c>
      <c r="J5" s="31">
        <v>9078000</v>
      </c>
      <c r="K5" s="1">
        <v>52</v>
      </c>
      <c r="L5" s="1">
        <v>24</v>
      </c>
      <c r="M5" s="1">
        <v>15</v>
      </c>
      <c r="N5" s="10">
        <f t="shared" si="0"/>
        <v>91</v>
      </c>
      <c r="O5" s="32">
        <f t="shared" si="1"/>
        <v>99758.241758241755</v>
      </c>
    </row>
    <row r="6" spans="1:15" x14ac:dyDescent="0.25">
      <c r="A6" s="1" t="s">
        <v>94</v>
      </c>
      <c r="B6" s="30">
        <v>21</v>
      </c>
      <c r="C6" s="6">
        <v>15</v>
      </c>
      <c r="D6" s="7">
        <v>8</v>
      </c>
      <c r="E6" s="6">
        <v>0</v>
      </c>
      <c r="F6" s="7">
        <v>0</v>
      </c>
      <c r="G6" s="6">
        <v>0</v>
      </c>
      <c r="H6" s="7">
        <v>0</v>
      </c>
      <c r="I6" s="6" t="s">
        <v>98</v>
      </c>
      <c r="J6" s="31">
        <v>8300000</v>
      </c>
      <c r="K6" s="1">
        <v>52</v>
      </c>
      <c r="L6" s="1">
        <v>24</v>
      </c>
      <c r="M6" s="1">
        <v>6</v>
      </c>
      <c r="N6" s="10">
        <f t="shared" si="0"/>
        <v>82</v>
      </c>
      <c r="O6" s="32">
        <f t="shared" si="1"/>
        <v>101219.51219512195</v>
      </c>
    </row>
    <row r="7" spans="1:15" x14ac:dyDescent="0.25">
      <c r="A7" s="1" t="s">
        <v>94</v>
      </c>
      <c r="B7" s="30">
        <v>21</v>
      </c>
      <c r="C7" s="6">
        <v>15</v>
      </c>
      <c r="D7" s="7">
        <v>6</v>
      </c>
      <c r="E7" s="6">
        <v>0</v>
      </c>
      <c r="F7" s="7">
        <v>0</v>
      </c>
      <c r="G7" s="6">
        <v>0</v>
      </c>
      <c r="H7" s="7">
        <v>0</v>
      </c>
      <c r="I7" s="6" t="s">
        <v>95</v>
      </c>
      <c r="J7" s="31">
        <v>6739500</v>
      </c>
      <c r="K7" s="1">
        <v>52</v>
      </c>
      <c r="L7" s="1">
        <v>14</v>
      </c>
      <c r="M7" s="1">
        <v>0</v>
      </c>
      <c r="N7" s="10">
        <f t="shared" si="0"/>
        <v>66</v>
      </c>
      <c r="O7" s="32">
        <f t="shared" si="1"/>
        <v>102113.63636363637</v>
      </c>
    </row>
    <row r="8" spans="1:15" x14ac:dyDescent="0.25">
      <c r="A8" s="1" t="s">
        <v>94</v>
      </c>
      <c r="B8" s="30">
        <v>21</v>
      </c>
      <c r="C8" s="6">
        <v>15</v>
      </c>
      <c r="D8" s="7">
        <v>6</v>
      </c>
      <c r="E8" s="6">
        <v>0</v>
      </c>
      <c r="F8" s="7">
        <v>0</v>
      </c>
      <c r="G8" s="6">
        <v>0</v>
      </c>
      <c r="H8" s="7">
        <v>0</v>
      </c>
      <c r="I8" s="6" t="s">
        <v>99</v>
      </c>
      <c r="J8" s="31">
        <v>8000000</v>
      </c>
      <c r="K8" s="1">
        <v>52</v>
      </c>
      <c r="L8" s="1">
        <v>14</v>
      </c>
      <c r="M8" s="1">
        <v>5</v>
      </c>
      <c r="N8" s="10">
        <f t="shared" si="0"/>
        <v>71</v>
      </c>
      <c r="O8" s="32">
        <f t="shared" si="1"/>
        <v>112676.05633802817</v>
      </c>
    </row>
    <row r="9" spans="1:15" x14ac:dyDescent="0.25">
      <c r="A9" s="1" t="s">
        <v>94</v>
      </c>
      <c r="B9" s="30">
        <v>20</v>
      </c>
      <c r="C9" s="6">
        <v>15</v>
      </c>
      <c r="D9" s="7">
        <v>6</v>
      </c>
      <c r="E9" s="6">
        <v>0</v>
      </c>
      <c r="F9" s="7">
        <v>0</v>
      </c>
      <c r="G9" s="6">
        <v>0</v>
      </c>
      <c r="H9" s="7">
        <v>0</v>
      </c>
      <c r="I9" s="6" t="s">
        <v>100</v>
      </c>
      <c r="J9" s="31">
        <v>10100000</v>
      </c>
      <c r="K9" s="1">
        <v>52</v>
      </c>
      <c r="L9" s="1">
        <v>14</v>
      </c>
      <c r="M9" s="1">
        <v>12</v>
      </c>
      <c r="N9" s="10">
        <f t="shared" si="0"/>
        <v>78</v>
      </c>
      <c r="O9" s="32">
        <f t="shared" si="1"/>
        <v>129487.17948717948</v>
      </c>
    </row>
    <row r="10" spans="1:15" x14ac:dyDescent="0.25">
      <c r="A10" s="1" t="s">
        <v>94</v>
      </c>
      <c r="B10" s="30">
        <v>21</v>
      </c>
      <c r="C10" s="6">
        <v>15</v>
      </c>
      <c r="D10" s="7">
        <v>5</v>
      </c>
      <c r="E10" s="6">
        <v>0</v>
      </c>
      <c r="F10" s="7">
        <v>0</v>
      </c>
      <c r="G10" s="6">
        <v>0</v>
      </c>
      <c r="H10" s="7">
        <v>0</v>
      </c>
      <c r="I10" s="6" t="s">
        <v>95</v>
      </c>
      <c r="J10" s="31">
        <v>6234000</v>
      </c>
      <c r="K10" s="1">
        <v>52</v>
      </c>
      <c r="L10" s="1">
        <v>10</v>
      </c>
      <c r="M10" s="1">
        <v>0</v>
      </c>
      <c r="N10" s="10">
        <f t="shared" si="0"/>
        <v>62</v>
      </c>
      <c r="O10" s="32">
        <f t="shared" si="1"/>
        <v>100548.3870967742</v>
      </c>
    </row>
    <row r="11" spans="1:15" x14ac:dyDescent="0.25">
      <c r="A11" s="1" t="s">
        <v>94</v>
      </c>
      <c r="B11" s="30">
        <v>21</v>
      </c>
      <c r="C11" s="6">
        <v>15</v>
      </c>
      <c r="D11" s="7">
        <v>5</v>
      </c>
      <c r="E11" s="6">
        <v>0</v>
      </c>
      <c r="F11" s="7">
        <v>0</v>
      </c>
      <c r="G11" s="6">
        <v>0</v>
      </c>
      <c r="H11" s="7">
        <v>0</v>
      </c>
      <c r="I11" s="6" t="s">
        <v>101</v>
      </c>
      <c r="J11" s="31">
        <v>7864000</v>
      </c>
      <c r="K11" s="1">
        <v>52</v>
      </c>
      <c r="L11" s="1">
        <v>10</v>
      </c>
      <c r="M11" s="1">
        <v>10</v>
      </c>
      <c r="N11" s="10">
        <f t="shared" si="0"/>
        <v>72</v>
      </c>
      <c r="O11" s="32">
        <f t="shared" si="1"/>
        <v>109222.22222222222</v>
      </c>
    </row>
    <row r="12" spans="1:15" x14ac:dyDescent="0.25">
      <c r="A12" s="1" t="s">
        <v>94</v>
      </c>
      <c r="B12" s="30">
        <v>20</v>
      </c>
      <c r="C12" s="6">
        <v>15</v>
      </c>
      <c r="D12" s="7">
        <v>5</v>
      </c>
      <c r="E12" s="6">
        <v>0</v>
      </c>
      <c r="F12" s="7">
        <v>0</v>
      </c>
      <c r="G12" s="6">
        <v>0</v>
      </c>
      <c r="H12" s="7">
        <v>0</v>
      </c>
      <c r="I12" s="6" t="s">
        <v>97</v>
      </c>
      <c r="J12" s="31">
        <v>9365500</v>
      </c>
      <c r="K12" s="1">
        <v>52</v>
      </c>
      <c r="L12" s="1">
        <v>10</v>
      </c>
      <c r="M12" s="1">
        <v>15</v>
      </c>
      <c r="N12" s="10">
        <f t="shared" si="0"/>
        <v>77</v>
      </c>
      <c r="O12" s="32">
        <f t="shared" si="1"/>
        <v>121629.87012987013</v>
      </c>
    </row>
    <row r="13" spans="1:15" x14ac:dyDescent="0.25">
      <c r="A13" s="1" t="s">
        <v>94</v>
      </c>
      <c r="B13" s="30">
        <v>21</v>
      </c>
      <c r="C13" s="6">
        <v>15</v>
      </c>
      <c r="D13" s="7">
        <v>4</v>
      </c>
      <c r="E13" s="6">
        <v>0</v>
      </c>
      <c r="F13" s="7">
        <v>0</v>
      </c>
      <c r="G13" s="6">
        <v>0</v>
      </c>
      <c r="H13" s="7">
        <v>0</v>
      </c>
      <c r="I13" s="6" t="s">
        <v>95</v>
      </c>
      <c r="J13" s="31">
        <v>6090000</v>
      </c>
      <c r="K13" s="1">
        <v>52</v>
      </c>
      <c r="L13" s="1">
        <v>6</v>
      </c>
      <c r="M13" s="1">
        <v>0</v>
      </c>
      <c r="N13" s="10">
        <f t="shared" si="0"/>
        <v>58</v>
      </c>
      <c r="O13" s="32">
        <f t="shared" si="1"/>
        <v>105000</v>
      </c>
    </row>
    <row r="14" spans="1:15" x14ac:dyDescent="0.25">
      <c r="A14" s="1" t="s">
        <v>94</v>
      </c>
      <c r="B14" s="30">
        <v>21</v>
      </c>
      <c r="C14" s="6">
        <v>15</v>
      </c>
      <c r="D14" s="7">
        <v>4</v>
      </c>
      <c r="E14" s="6">
        <v>0</v>
      </c>
      <c r="F14" s="7">
        <v>0</v>
      </c>
      <c r="G14" s="6">
        <v>0</v>
      </c>
      <c r="H14" s="7">
        <v>0</v>
      </c>
      <c r="I14" s="6" t="s">
        <v>101</v>
      </c>
      <c r="J14" s="31">
        <v>7282000</v>
      </c>
      <c r="K14" s="1">
        <v>52</v>
      </c>
      <c r="L14" s="1">
        <v>6</v>
      </c>
      <c r="M14" s="1">
        <v>10</v>
      </c>
      <c r="N14" s="10">
        <f t="shared" si="0"/>
        <v>68</v>
      </c>
      <c r="O14" s="32">
        <f t="shared" si="1"/>
        <v>107088.23529411765</v>
      </c>
    </row>
    <row r="15" spans="1:15" x14ac:dyDescent="0.25">
      <c r="A15" s="1" t="s">
        <v>94</v>
      </c>
      <c r="B15" s="30">
        <v>20</v>
      </c>
      <c r="C15" s="6">
        <v>15</v>
      </c>
      <c r="D15" s="7">
        <v>4</v>
      </c>
      <c r="E15" s="6">
        <v>0</v>
      </c>
      <c r="F15" s="7">
        <v>0</v>
      </c>
      <c r="G15" s="6">
        <v>0</v>
      </c>
      <c r="H15" s="7">
        <v>0</v>
      </c>
      <c r="I15" s="6" t="s">
        <v>102</v>
      </c>
      <c r="J15" s="31">
        <v>7651000</v>
      </c>
      <c r="K15" s="1">
        <v>52</v>
      </c>
      <c r="L15" s="1">
        <v>6</v>
      </c>
      <c r="M15" s="1">
        <v>8</v>
      </c>
      <c r="N15" s="10">
        <f t="shared" si="0"/>
        <v>66</v>
      </c>
      <c r="O15" s="32">
        <f t="shared" si="1"/>
        <v>115924.24242424243</v>
      </c>
    </row>
    <row r="16" spans="1:15" x14ac:dyDescent="0.25">
      <c r="A16" s="1" t="s">
        <v>94</v>
      </c>
      <c r="B16" s="30">
        <v>19</v>
      </c>
      <c r="C16" s="6">
        <v>15</v>
      </c>
      <c r="D16" s="7">
        <v>4</v>
      </c>
      <c r="E16" s="6">
        <v>0</v>
      </c>
      <c r="F16" s="7">
        <v>0</v>
      </c>
      <c r="G16" s="6">
        <v>0</v>
      </c>
      <c r="H16" s="7">
        <v>0</v>
      </c>
      <c r="I16" s="6" t="s">
        <v>103</v>
      </c>
      <c r="J16" s="31">
        <v>8500000</v>
      </c>
      <c r="K16" s="1">
        <v>52</v>
      </c>
      <c r="L16" s="1">
        <v>6</v>
      </c>
      <c r="M16" s="1">
        <v>3</v>
      </c>
      <c r="N16" s="10">
        <f t="shared" si="0"/>
        <v>61</v>
      </c>
      <c r="O16" s="32">
        <f t="shared" si="1"/>
        <v>139344.26229508198</v>
      </c>
    </row>
    <row r="17" spans="1:15" x14ac:dyDescent="0.25">
      <c r="A17" s="1" t="s">
        <v>94</v>
      </c>
      <c r="B17" s="30">
        <v>19</v>
      </c>
      <c r="C17" s="6">
        <v>15</v>
      </c>
      <c r="D17" s="7">
        <v>4</v>
      </c>
      <c r="E17" s="6">
        <v>0</v>
      </c>
      <c r="F17" s="7">
        <v>0</v>
      </c>
      <c r="G17" s="6">
        <v>0</v>
      </c>
      <c r="H17" s="7">
        <v>0</v>
      </c>
      <c r="I17" s="6" t="s">
        <v>95</v>
      </c>
      <c r="J17" s="31">
        <v>8100000</v>
      </c>
      <c r="K17" s="1">
        <v>52</v>
      </c>
      <c r="L17" s="1">
        <v>6</v>
      </c>
      <c r="M17" s="1">
        <v>0</v>
      </c>
      <c r="N17" s="10">
        <f t="shared" si="0"/>
        <v>58</v>
      </c>
      <c r="O17" s="32">
        <f t="shared" si="1"/>
        <v>139655.1724137931</v>
      </c>
    </row>
    <row r="18" spans="1:15" x14ac:dyDescent="0.25">
      <c r="A18" s="1" t="s">
        <v>94</v>
      </c>
      <c r="B18" s="30">
        <v>21</v>
      </c>
      <c r="C18" s="6">
        <v>15</v>
      </c>
      <c r="D18" s="7">
        <v>3</v>
      </c>
      <c r="E18" s="6">
        <v>0</v>
      </c>
      <c r="F18" s="7">
        <v>0</v>
      </c>
      <c r="G18" s="6">
        <v>0</v>
      </c>
      <c r="H18" s="7">
        <v>0</v>
      </c>
      <c r="I18" s="6" t="s">
        <v>97</v>
      </c>
      <c r="J18" s="31">
        <v>7700000</v>
      </c>
      <c r="K18" s="1">
        <v>52</v>
      </c>
      <c r="L18" s="1">
        <v>3</v>
      </c>
      <c r="M18" s="1">
        <v>15</v>
      </c>
      <c r="N18" s="10">
        <f t="shared" si="0"/>
        <v>70</v>
      </c>
      <c r="O18" s="32">
        <f t="shared" si="1"/>
        <v>110000</v>
      </c>
    </row>
    <row r="19" spans="1:15" x14ac:dyDescent="0.25">
      <c r="A19" s="1" t="s">
        <v>94</v>
      </c>
      <c r="B19" s="30">
        <v>19</v>
      </c>
      <c r="C19" s="6">
        <v>15</v>
      </c>
      <c r="D19" s="7">
        <v>3</v>
      </c>
      <c r="E19" s="6">
        <v>0</v>
      </c>
      <c r="F19" s="7">
        <v>0</v>
      </c>
      <c r="G19" s="6">
        <v>0</v>
      </c>
      <c r="H19" s="7">
        <v>0</v>
      </c>
      <c r="I19" s="6" t="s">
        <v>95</v>
      </c>
      <c r="J19" s="31">
        <v>6237000</v>
      </c>
      <c r="K19" s="1">
        <v>52</v>
      </c>
      <c r="L19" s="1">
        <v>3</v>
      </c>
      <c r="M19" s="1">
        <v>0</v>
      </c>
      <c r="N19" s="10">
        <f t="shared" si="0"/>
        <v>55</v>
      </c>
      <c r="O19" s="32">
        <f t="shared" si="1"/>
        <v>113400</v>
      </c>
    </row>
    <row r="20" spans="1:15" x14ac:dyDescent="0.25">
      <c r="A20" s="1" t="s">
        <v>94</v>
      </c>
      <c r="B20" s="30">
        <v>20</v>
      </c>
      <c r="C20" s="6">
        <v>15</v>
      </c>
      <c r="D20" s="7">
        <v>2</v>
      </c>
      <c r="E20" s="6">
        <v>0</v>
      </c>
      <c r="F20" s="7">
        <v>0</v>
      </c>
      <c r="G20" s="6">
        <v>0</v>
      </c>
      <c r="H20" s="7">
        <v>0</v>
      </c>
      <c r="I20" s="6" t="s">
        <v>95</v>
      </c>
      <c r="J20" s="31">
        <v>6245000</v>
      </c>
      <c r="K20" s="1">
        <v>52</v>
      </c>
      <c r="L20" s="1">
        <v>0</v>
      </c>
      <c r="M20" s="1">
        <v>0</v>
      </c>
      <c r="N20" s="10">
        <f t="shared" si="0"/>
        <v>52</v>
      </c>
      <c r="O20" s="32">
        <f t="shared" si="1"/>
        <v>120096.15384615384</v>
      </c>
    </row>
    <row r="21" spans="1:15" x14ac:dyDescent="0.25">
      <c r="A21" s="1" t="s">
        <v>94</v>
      </c>
      <c r="B21" s="30">
        <v>20</v>
      </c>
      <c r="C21" s="6">
        <v>15</v>
      </c>
      <c r="D21" s="7">
        <v>0</v>
      </c>
      <c r="E21" s="6">
        <v>0</v>
      </c>
      <c r="F21" s="7">
        <v>0</v>
      </c>
      <c r="G21" s="6">
        <v>0</v>
      </c>
      <c r="H21" s="7">
        <v>0</v>
      </c>
      <c r="I21" s="6" t="s">
        <v>95</v>
      </c>
      <c r="J21" s="31">
        <v>7228500</v>
      </c>
      <c r="K21" s="1">
        <v>52</v>
      </c>
      <c r="L21" s="1">
        <v>0</v>
      </c>
      <c r="M21" s="1">
        <v>0</v>
      </c>
      <c r="N21" s="10">
        <f t="shared" si="0"/>
        <v>52</v>
      </c>
      <c r="O21" s="32">
        <f t="shared" si="1"/>
        <v>139009.61538461538</v>
      </c>
    </row>
    <row r="22" spans="1:15" x14ac:dyDescent="0.25">
      <c r="A22" s="1" t="s">
        <v>94</v>
      </c>
      <c r="B22" s="30">
        <v>21</v>
      </c>
      <c r="C22" s="6">
        <v>14</v>
      </c>
      <c r="D22" s="7">
        <v>11</v>
      </c>
      <c r="E22" s="6">
        <v>0</v>
      </c>
      <c r="F22" s="7">
        <v>0</v>
      </c>
      <c r="G22" s="6">
        <v>0</v>
      </c>
      <c r="H22" s="7">
        <v>0</v>
      </c>
      <c r="I22" s="6" t="s">
        <v>103</v>
      </c>
      <c r="J22" s="31">
        <v>7482000</v>
      </c>
      <c r="K22" s="1">
        <v>44</v>
      </c>
      <c r="L22" s="1">
        <v>46</v>
      </c>
      <c r="M22" s="1">
        <v>3</v>
      </c>
      <c r="N22" s="10">
        <f t="shared" si="0"/>
        <v>93</v>
      </c>
      <c r="O22" s="32">
        <f t="shared" si="1"/>
        <v>80451.612903225803</v>
      </c>
    </row>
    <row r="23" spans="1:15" x14ac:dyDescent="0.25">
      <c r="A23" s="1" t="s">
        <v>94</v>
      </c>
      <c r="B23" s="30">
        <v>20</v>
      </c>
      <c r="C23" s="6">
        <v>14</v>
      </c>
      <c r="D23" s="7">
        <v>10</v>
      </c>
      <c r="E23" s="6">
        <v>0</v>
      </c>
      <c r="F23" s="7">
        <v>0</v>
      </c>
      <c r="G23" s="6">
        <v>0</v>
      </c>
      <c r="H23" s="7">
        <v>0</v>
      </c>
      <c r="I23" s="6" t="s">
        <v>104</v>
      </c>
      <c r="J23" s="31">
        <v>6881000</v>
      </c>
      <c r="K23" s="1">
        <v>44</v>
      </c>
      <c r="L23" s="1">
        <v>37</v>
      </c>
      <c r="M23" s="1">
        <v>7</v>
      </c>
      <c r="N23" s="10">
        <f t="shared" si="0"/>
        <v>88</v>
      </c>
      <c r="O23" s="32">
        <f t="shared" si="1"/>
        <v>78193.181818181823</v>
      </c>
    </row>
    <row r="24" spans="1:15" x14ac:dyDescent="0.25">
      <c r="A24" s="1" t="s">
        <v>94</v>
      </c>
      <c r="B24" s="30">
        <v>21</v>
      </c>
      <c r="C24" s="6">
        <v>14</v>
      </c>
      <c r="D24" s="7">
        <v>8</v>
      </c>
      <c r="E24" s="6">
        <v>0</v>
      </c>
      <c r="F24" s="7">
        <v>0</v>
      </c>
      <c r="G24" s="6">
        <v>0</v>
      </c>
      <c r="H24" s="7">
        <v>0</v>
      </c>
      <c r="I24" s="6" t="s">
        <v>105</v>
      </c>
      <c r="J24" s="31">
        <v>7407500</v>
      </c>
      <c r="K24" s="1">
        <v>44</v>
      </c>
      <c r="L24" s="1">
        <v>24</v>
      </c>
      <c r="M24" s="1">
        <v>4</v>
      </c>
      <c r="N24" s="10">
        <f t="shared" si="0"/>
        <v>72</v>
      </c>
      <c r="O24" s="32">
        <f t="shared" si="1"/>
        <v>102881.94444444444</v>
      </c>
    </row>
    <row r="25" spans="1:15" x14ac:dyDescent="0.25">
      <c r="A25" s="1" t="s">
        <v>94</v>
      </c>
      <c r="B25" s="30">
        <v>21</v>
      </c>
      <c r="C25" s="6">
        <v>14</v>
      </c>
      <c r="D25" s="7">
        <v>7</v>
      </c>
      <c r="E25" s="6">
        <v>0</v>
      </c>
      <c r="F25" s="7">
        <v>0</v>
      </c>
      <c r="G25" s="6">
        <v>0</v>
      </c>
      <c r="H25" s="7">
        <v>0</v>
      </c>
      <c r="I25" s="6" t="s">
        <v>98</v>
      </c>
      <c r="J25" s="31">
        <v>7500000</v>
      </c>
      <c r="K25" s="1">
        <v>44</v>
      </c>
      <c r="L25" s="1">
        <v>18</v>
      </c>
      <c r="M25" s="1">
        <v>6</v>
      </c>
      <c r="N25" s="10">
        <f t="shared" si="0"/>
        <v>68</v>
      </c>
      <c r="O25" s="32">
        <f t="shared" si="1"/>
        <v>110294.11764705883</v>
      </c>
    </row>
    <row r="26" spans="1:15" x14ac:dyDescent="0.25">
      <c r="A26" s="1" t="s">
        <v>94</v>
      </c>
      <c r="B26" s="30">
        <v>21</v>
      </c>
      <c r="C26" s="6">
        <v>14</v>
      </c>
      <c r="D26" s="7">
        <v>7</v>
      </c>
      <c r="E26" s="6">
        <v>0</v>
      </c>
      <c r="F26" s="7">
        <v>0</v>
      </c>
      <c r="G26" s="6">
        <v>0</v>
      </c>
      <c r="H26" s="7">
        <v>0</v>
      </c>
      <c r="I26" s="6" t="s">
        <v>101</v>
      </c>
      <c r="J26" s="31">
        <v>8280000</v>
      </c>
      <c r="K26" s="1">
        <v>44</v>
      </c>
      <c r="L26" s="1">
        <v>18</v>
      </c>
      <c r="M26" s="1">
        <v>10</v>
      </c>
      <c r="N26" s="10">
        <f t="shared" si="0"/>
        <v>72</v>
      </c>
      <c r="O26" s="32">
        <f t="shared" si="1"/>
        <v>115000</v>
      </c>
    </row>
    <row r="27" spans="1:15" x14ac:dyDescent="0.25">
      <c r="A27" s="1" t="s">
        <v>94</v>
      </c>
      <c r="B27" s="30">
        <v>21</v>
      </c>
      <c r="C27" s="6">
        <v>14</v>
      </c>
      <c r="D27" s="7">
        <v>6</v>
      </c>
      <c r="E27" s="6">
        <v>0</v>
      </c>
      <c r="F27" s="7">
        <v>0</v>
      </c>
      <c r="G27" s="6">
        <v>0</v>
      </c>
      <c r="H27" s="7">
        <v>0</v>
      </c>
      <c r="I27" s="6" t="s">
        <v>99</v>
      </c>
      <c r="J27" s="31">
        <v>6423000</v>
      </c>
      <c r="K27" s="1">
        <v>44</v>
      </c>
      <c r="L27" s="1">
        <v>14</v>
      </c>
      <c r="M27" s="1">
        <v>5</v>
      </c>
      <c r="N27" s="10">
        <f t="shared" si="0"/>
        <v>63</v>
      </c>
      <c r="O27" s="32">
        <f t="shared" si="1"/>
        <v>101952.38095238095</v>
      </c>
    </row>
    <row r="28" spans="1:15" x14ac:dyDescent="0.25">
      <c r="A28" s="1" t="s">
        <v>94</v>
      </c>
      <c r="B28" s="30">
        <v>21</v>
      </c>
      <c r="C28" s="6">
        <v>14</v>
      </c>
      <c r="D28" s="7">
        <v>6</v>
      </c>
      <c r="E28" s="6">
        <v>0</v>
      </c>
      <c r="F28" s="7">
        <v>0</v>
      </c>
      <c r="G28" s="6">
        <v>0</v>
      </c>
      <c r="H28" s="7">
        <v>0</v>
      </c>
      <c r="I28" s="6" t="s">
        <v>103</v>
      </c>
      <c r="J28" s="31">
        <v>6667000</v>
      </c>
      <c r="K28" s="1">
        <v>44</v>
      </c>
      <c r="L28" s="1">
        <v>14</v>
      </c>
      <c r="M28" s="1">
        <v>3</v>
      </c>
      <c r="N28" s="10">
        <f t="shared" si="0"/>
        <v>61</v>
      </c>
      <c r="O28" s="32">
        <f t="shared" si="1"/>
        <v>109295.08196721312</v>
      </c>
    </row>
    <row r="29" spans="1:15" x14ac:dyDescent="0.25">
      <c r="A29" s="1" t="s">
        <v>94</v>
      </c>
      <c r="B29" s="30">
        <v>21</v>
      </c>
      <c r="C29" s="6">
        <v>14</v>
      </c>
      <c r="D29" s="7">
        <v>6</v>
      </c>
      <c r="E29" s="6">
        <v>0</v>
      </c>
      <c r="F29" s="7">
        <v>0</v>
      </c>
      <c r="G29" s="6">
        <v>0</v>
      </c>
      <c r="H29" s="7">
        <v>0</v>
      </c>
      <c r="I29" s="6" t="s">
        <v>106</v>
      </c>
      <c r="J29" s="31">
        <v>8300000</v>
      </c>
      <c r="K29" s="1">
        <v>44</v>
      </c>
      <c r="L29" s="1">
        <v>14</v>
      </c>
      <c r="M29" s="1">
        <v>13</v>
      </c>
      <c r="N29" s="10">
        <f t="shared" si="0"/>
        <v>71</v>
      </c>
      <c r="O29" s="32">
        <f t="shared" si="1"/>
        <v>116901.40845070423</v>
      </c>
    </row>
    <row r="30" spans="1:15" x14ac:dyDescent="0.25">
      <c r="A30" s="1" t="s">
        <v>94</v>
      </c>
      <c r="B30" s="30">
        <v>20</v>
      </c>
      <c r="C30" s="6">
        <v>14</v>
      </c>
      <c r="D30" s="7">
        <v>6</v>
      </c>
      <c r="E30" s="6">
        <v>0</v>
      </c>
      <c r="F30" s="7">
        <v>0</v>
      </c>
      <c r="G30" s="6">
        <v>0</v>
      </c>
      <c r="H30" s="7">
        <v>0</v>
      </c>
      <c r="I30" s="6" t="s">
        <v>105</v>
      </c>
      <c r="J30" s="31">
        <v>6588000</v>
      </c>
      <c r="K30" s="1">
        <v>44</v>
      </c>
      <c r="L30" s="1">
        <v>14</v>
      </c>
      <c r="M30" s="1">
        <v>4</v>
      </c>
      <c r="N30" s="10">
        <f t="shared" si="0"/>
        <v>62</v>
      </c>
      <c r="O30" s="32">
        <f t="shared" si="1"/>
        <v>106258.06451612903</v>
      </c>
    </row>
    <row r="31" spans="1:15" x14ac:dyDescent="0.25">
      <c r="A31" s="1" t="s">
        <v>94</v>
      </c>
      <c r="B31" s="30">
        <v>21</v>
      </c>
      <c r="C31" s="6">
        <v>14</v>
      </c>
      <c r="D31" s="7">
        <v>5</v>
      </c>
      <c r="E31" s="6">
        <v>0</v>
      </c>
      <c r="F31" s="7">
        <v>0</v>
      </c>
      <c r="G31" s="6">
        <v>0</v>
      </c>
      <c r="H31" s="7">
        <v>0</v>
      </c>
      <c r="I31" s="6" t="s">
        <v>107</v>
      </c>
      <c r="J31" s="31">
        <v>6334000</v>
      </c>
      <c r="K31" s="1">
        <v>44</v>
      </c>
      <c r="L31" s="1">
        <v>10</v>
      </c>
      <c r="M31" s="1">
        <v>7</v>
      </c>
      <c r="N31" s="10">
        <f t="shared" si="0"/>
        <v>61</v>
      </c>
      <c r="O31" s="32">
        <f t="shared" si="1"/>
        <v>103836.06557377049</v>
      </c>
    </row>
    <row r="32" spans="1:15" x14ac:dyDescent="0.25">
      <c r="A32" s="1" t="s">
        <v>94</v>
      </c>
      <c r="B32" s="30">
        <v>19</v>
      </c>
      <c r="C32" s="6">
        <v>14</v>
      </c>
      <c r="D32" s="7">
        <v>5</v>
      </c>
      <c r="E32" s="6">
        <v>0</v>
      </c>
      <c r="F32" s="7">
        <v>0</v>
      </c>
      <c r="G32" s="6">
        <v>0</v>
      </c>
      <c r="H32" s="7">
        <v>0</v>
      </c>
      <c r="I32" s="6" t="s">
        <v>98</v>
      </c>
      <c r="J32" s="31">
        <v>6400000</v>
      </c>
      <c r="K32" s="1">
        <v>44</v>
      </c>
      <c r="L32" s="1">
        <v>10</v>
      </c>
      <c r="M32" s="1">
        <v>6</v>
      </c>
      <c r="N32" s="10">
        <f t="shared" si="0"/>
        <v>60</v>
      </c>
      <c r="O32" s="32">
        <f t="shared" si="1"/>
        <v>106666.66666666667</v>
      </c>
    </row>
    <row r="33" spans="1:15" x14ac:dyDescent="0.25">
      <c r="A33" s="1" t="s">
        <v>94</v>
      </c>
      <c r="B33" s="30">
        <v>21</v>
      </c>
      <c r="C33" s="6">
        <v>14</v>
      </c>
      <c r="D33" s="7">
        <v>4</v>
      </c>
      <c r="E33" s="6">
        <v>0</v>
      </c>
      <c r="F33" s="7">
        <v>0</v>
      </c>
      <c r="G33" s="6">
        <v>0</v>
      </c>
      <c r="H33" s="7">
        <v>0</v>
      </c>
      <c r="I33" s="6" t="s">
        <v>100</v>
      </c>
      <c r="J33" s="31">
        <v>7000000</v>
      </c>
      <c r="K33" s="1">
        <v>44</v>
      </c>
      <c r="L33" s="1">
        <v>6</v>
      </c>
      <c r="M33" s="1">
        <v>12</v>
      </c>
      <c r="N33" s="10">
        <f t="shared" si="0"/>
        <v>62</v>
      </c>
      <c r="O33" s="32">
        <f t="shared" si="1"/>
        <v>112903.22580645161</v>
      </c>
    </row>
    <row r="34" spans="1:15" x14ac:dyDescent="0.25">
      <c r="A34" s="1" t="s">
        <v>94</v>
      </c>
      <c r="B34" s="30">
        <v>20</v>
      </c>
      <c r="C34" s="6">
        <v>14</v>
      </c>
      <c r="D34" s="7">
        <v>4</v>
      </c>
      <c r="E34" s="6">
        <v>0</v>
      </c>
      <c r="F34" s="7">
        <v>0</v>
      </c>
      <c r="G34" s="6">
        <v>0</v>
      </c>
      <c r="H34" s="7">
        <v>0</v>
      </c>
      <c r="I34" s="6" t="s">
        <v>108</v>
      </c>
      <c r="J34" s="31">
        <v>8259000</v>
      </c>
      <c r="K34" s="1">
        <v>44</v>
      </c>
      <c r="L34" s="1">
        <v>6</v>
      </c>
      <c r="M34" s="1">
        <v>21</v>
      </c>
      <c r="N34" s="10">
        <f t="shared" si="0"/>
        <v>71</v>
      </c>
      <c r="O34" s="32">
        <f t="shared" si="1"/>
        <v>116323.94366197183</v>
      </c>
    </row>
    <row r="35" spans="1:15" x14ac:dyDescent="0.25">
      <c r="A35" s="1" t="s">
        <v>94</v>
      </c>
      <c r="B35" s="30">
        <v>20</v>
      </c>
      <c r="C35" s="6">
        <v>14</v>
      </c>
      <c r="D35" s="7">
        <v>4</v>
      </c>
      <c r="E35" s="6">
        <v>0</v>
      </c>
      <c r="F35" s="7">
        <v>0</v>
      </c>
      <c r="G35" s="6">
        <v>0</v>
      </c>
      <c r="H35" s="7">
        <v>0</v>
      </c>
      <c r="I35" s="6" t="s">
        <v>101</v>
      </c>
      <c r="J35" s="31">
        <v>8664000</v>
      </c>
      <c r="K35" s="1">
        <v>44</v>
      </c>
      <c r="L35" s="1">
        <v>6</v>
      </c>
      <c r="M35" s="1">
        <v>10</v>
      </c>
      <c r="N35" s="10">
        <f t="shared" si="0"/>
        <v>60</v>
      </c>
      <c r="O35" s="32">
        <f t="shared" si="1"/>
        <v>144400</v>
      </c>
    </row>
    <row r="36" spans="1:15" x14ac:dyDescent="0.25">
      <c r="A36" s="1" t="s">
        <v>94</v>
      </c>
      <c r="B36" s="30">
        <v>21</v>
      </c>
      <c r="C36" s="6">
        <v>14</v>
      </c>
      <c r="D36" s="7">
        <v>3</v>
      </c>
      <c r="E36" s="6">
        <v>0</v>
      </c>
      <c r="F36" s="7">
        <v>0</v>
      </c>
      <c r="G36" s="6">
        <v>0</v>
      </c>
      <c r="H36" s="7">
        <v>0</v>
      </c>
      <c r="I36" s="6" t="s">
        <v>107</v>
      </c>
      <c r="J36" s="31">
        <v>5463000</v>
      </c>
      <c r="K36" s="1">
        <v>44</v>
      </c>
      <c r="L36" s="1">
        <v>3</v>
      </c>
      <c r="M36" s="1">
        <v>7</v>
      </c>
      <c r="N36" s="10">
        <f t="shared" si="0"/>
        <v>54</v>
      </c>
      <c r="O36" s="32">
        <f t="shared" si="1"/>
        <v>101166.66666666667</v>
      </c>
    </row>
    <row r="37" spans="1:15" x14ac:dyDescent="0.25">
      <c r="A37" s="1" t="s">
        <v>94</v>
      </c>
      <c r="B37" s="30">
        <v>20</v>
      </c>
      <c r="C37" s="6">
        <v>14</v>
      </c>
      <c r="D37" s="7">
        <v>3</v>
      </c>
      <c r="E37" s="6">
        <v>0</v>
      </c>
      <c r="F37" s="7">
        <v>0</v>
      </c>
      <c r="G37" s="6">
        <v>0</v>
      </c>
      <c r="H37" s="7">
        <v>0</v>
      </c>
      <c r="I37" s="6" t="s">
        <v>98</v>
      </c>
      <c r="J37" s="31">
        <v>5652000</v>
      </c>
      <c r="K37" s="1">
        <v>44</v>
      </c>
      <c r="L37" s="1">
        <v>3</v>
      </c>
      <c r="M37" s="1">
        <v>6</v>
      </c>
      <c r="N37" s="10">
        <f t="shared" si="0"/>
        <v>53</v>
      </c>
      <c r="O37" s="32">
        <f t="shared" si="1"/>
        <v>106641.50943396226</v>
      </c>
    </row>
    <row r="38" spans="1:15" x14ac:dyDescent="0.25">
      <c r="A38" s="1" t="s">
        <v>94</v>
      </c>
      <c r="B38" s="30">
        <v>20</v>
      </c>
      <c r="C38" s="6">
        <v>14</v>
      </c>
      <c r="D38" s="7">
        <v>3</v>
      </c>
      <c r="E38" s="6">
        <v>0</v>
      </c>
      <c r="F38" s="7">
        <v>0</v>
      </c>
      <c r="G38" s="6">
        <v>0</v>
      </c>
      <c r="H38" s="7">
        <v>0</v>
      </c>
      <c r="I38" s="6" t="s">
        <v>97</v>
      </c>
      <c r="J38" s="31">
        <v>8021500</v>
      </c>
      <c r="K38" s="1">
        <v>44</v>
      </c>
      <c r="L38" s="1">
        <v>3</v>
      </c>
      <c r="M38" s="1">
        <v>15</v>
      </c>
      <c r="N38" s="10">
        <f t="shared" si="0"/>
        <v>62</v>
      </c>
      <c r="O38" s="32">
        <f t="shared" si="1"/>
        <v>129379.03225806452</v>
      </c>
    </row>
    <row r="39" spans="1:15" x14ac:dyDescent="0.25">
      <c r="A39" s="1" t="s">
        <v>94</v>
      </c>
      <c r="B39" s="30">
        <v>21</v>
      </c>
      <c r="C39" s="6">
        <v>14</v>
      </c>
      <c r="D39" s="7">
        <v>2</v>
      </c>
      <c r="E39" s="6">
        <v>0</v>
      </c>
      <c r="F39" s="7">
        <v>0</v>
      </c>
      <c r="G39" s="6">
        <v>0</v>
      </c>
      <c r="H39" s="7">
        <v>0</v>
      </c>
      <c r="I39" s="6" t="s">
        <v>103</v>
      </c>
      <c r="J39" s="31">
        <v>5413000</v>
      </c>
      <c r="K39" s="1">
        <v>44</v>
      </c>
      <c r="L39" s="1">
        <v>0</v>
      </c>
      <c r="M39" s="1">
        <v>3</v>
      </c>
      <c r="N39" s="10">
        <f t="shared" si="0"/>
        <v>47</v>
      </c>
      <c r="O39" s="32">
        <f t="shared" si="1"/>
        <v>115170.21276595745</v>
      </c>
    </row>
    <row r="40" spans="1:15" x14ac:dyDescent="0.25">
      <c r="A40" s="1" t="s">
        <v>94</v>
      </c>
      <c r="B40" s="30">
        <v>20</v>
      </c>
      <c r="C40" s="6">
        <v>14</v>
      </c>
      <c r="D40" s="7">
        <v>2</v>
      </c>
      <c r="E40" s="6">
        <v>0</v>
      </c>
      <c r="F40" s="7">
        <v>0</v>
      </c>
      <c r="G40" s="6">
        <v>0</v>
      </c>
      <c r="H40" s="7">
        <v>0</v>
      </c>
      <c r="I40" s="6" t="s">
        <v>99</v>
      </c>
      <c r="J40" s="31">
        <v>5780000</v>
      </c>
      <c r="K40" s="1">
        <v>44</v>
      </c>
      <c r="L40" s="1">
        <v>0</v>
      </c>
      <c r="M40" s="1">
        <v>5</v>
      </c>
      <c r="N40" s="10">
        <f t="shared" si="0"/>
        <v>49</v>
      </c>
      <c r="O40" s="32">
        <f t="shared" si="1"/>
        <v>117959.18367346939</v>
      </c>
    </row>
    <row r="41" spans="1:15" x14ac:dyDescent="0.25">
      <c r="A41" s="1" t="s">
        <v>94</v>
      </c>
      <c r="B41" s="30">
        <v>20</v>
      </c>
      <c r="C41" s="6">
        <v>14</v>
      </c>
      <c r="D41" s="7">
        <v>2</v>
      </c>
      <c r="E41" s="6">
        <v>0</v>
      </c>
      <c r="F41" s="7">
        <v>0</v>
      </c>
      <c r="G41" s="6">
        <v>0</v>
      </c>
      <c r="H41" s="7">
        <v>0</v>
      </c>
      <c r="I41" s="6" t="s">
        <v>95</v>
      </c>
      <c r="J41" s="31">
        <v>5515000</v>
      </c>
      <c r="K41" s="1">
        <v>44</v>
      </c>
      <c r="L41" s="1">
        <v>0</v>
      </c>
      <c r="M41" s="1">
        <v>0</v>
      </c>
      <c r="N41" s="10">
        <f t="shared" si="0"/>
        <v>44</v>
      </c>
      <c r="O41" s="32">
        <f t="shared" si="1"/>
        <v>125340.90909090909</v>
      </c>
    </row>
    <row r="42" spans="1:15" x14ac:dyDescent="0.25">
      <c r="A42" s="1" t="s">
        <v>94</v>
      </c>
      <c r="B42" s="30">
        <v>20</v>
      </c>
      <c r="C42" s="6">
        <v>14</v>
      </c>
      <c r="D42" s="7">
        <v>2</v>
      </c>
      <c r="E42" s="6">
        <v>0</v>
      </c>
      <c r="F42" s="7">
        <v>0</v>
      </c>
      <c r="G42" s="6">
        <v>0</v>
      </c>
      <c r="H42" s="7">
        <v>0</v>
      </c>
      <c r="I42" s="6" t="s">
        <v>106</v>
      </c>
      <c r="J42" s="31">
        <v>7205000</v>
      </c>
      <c r="K42" s="1">
        <v>44</v>
      </c>
      <c r="L42" s="1">
        <v>0</v>
      </c>
      <c r="M42" s="1">
        <v>13</v>
      </c>
      <c r="N42" s="10">
        <f t="shared" si="0"/>
        <v>57</v>
      </c>
      <c r="O42" s="32">
        <f t="shared" si="1"/>
        <v>126403.50877192983</v>
      </c>
    </row>
    <row r="43" spans="1:15" x14ac:dyDescent="0.25">
      <c r="A43" s="1" t="s">
        <v>94</v>
      </c>
      <c r="B43" s="30">
        <v>19</v>
      </c>
      <c r="C43" s="6">
        <v>14</v>
      </c>
      <c r="D43" s="7">
        <v>2</v>
      </c>
      <c r="E43" s="6">
        <v>0</v>
      </c>
      <c r="F43" s="7">
        <v>0</v>
      </c>
      <c r="G43" s="6">
        <v>0</v>
      </c>
      <c r="H43" s="7">
        <v>0</v>
      </c>
      <c r="I43" s="6" t="s">
        <v>98</v>
      </c>
      <c r="J43" s="31">
        <v>5000000</v>
      </c>
      <c r="K43" s="1">
        <v>44</v>
      </c>
      <c r="L43" s="1">
        <v>0</v>
      </c>
      <c r="M43" s="1">
        <v>6</v>
      </c>
      <c r="N43" s="10">
        <f t="shared" si="0"/>
        <v>50</v>
      </c>
      <c r="O43" s="32">
        <f t="shared" si="1"/>
        <v>100000</v>
      </c>
    </row>
    <row r="44" spans="1:15" x14ac:dyDescent="0.25">
      <c r="A44" s="1" t="s">
        <v>94</v>
      </c>
      <c r="B44" s="30">
        <v>19</v>
      </c>
      <c r="C44" s="6">
        <v>14</v>
      </c>
      <c r="D44" s="7">
        <v>2</v>
      </c>
      <c r="E44" s="6">
        <v>0</v>
      </c>
      <c r="F44" s="7">
        <v>0</v>
      </c>
      <c r="G44" s="6">
        <v>0</v>
      </c>
      <c r="H44" s="7">
        <v>0</v>
      </c>
      <c r="I44" s="6" t="s">
        <v>95</v>
      </c>
      <c r="J44" s="31">
        <v>5500000</v>
      </c>
      <c r="K44" s="1">
        <v>44</v>
      </c>
      <c r="L44" s="1">
        <v>0</v>
      </c>
      <c r="M44" s="1">
        <v>0</v>
      </c>
      <c r="N44" s="10">
        <f t="shared" si="0"/>
        <v>44</v>
      </c>
      <c r="O44" s="32">
        <f t="shared" si="1"/>
        <v>125000</v>
      </c>
    </row>
    <row r="45" spans="1:15" x14ac:dyDescent="0.25">
      <c r="A45" s="1" t="s">
        <v>94</v>
      </c>
      <c r="B45" s="30">
        <v>20</v>
      </c>
      <c r="C45" s="6">
        <v>14</v>
      </c>
      <c r="D45" s="7">
        <v>1</v>
      </c>
      <c r="E45" s="6">
        <v>0</v>
      </c>
      <c r="F45" s="7">
        <v>0</v>
      </c>
      <c r="G45" s="6">
        <v>0</v>
      </c>
      <c r="H45" s="7">
        <v>0</v>
      </c>
      <c r="I45" s="6" t="s">
        <v>96</v>
      </c>
      <c r="J45" s="31">
        <v>5000000</v>
      </c>
      <c r="K45" s="1">
        <v>44</v>
      </c>
      <c r="L45" s="1">
        <v>0</v>
      </c>
      <c r="M45" s="1">
        <v>2</v>
      </c>
      <c r="N45" s="10">
        <f t="shared" si="0"/>
        <v>46</v>
      </c>
      <c r="O45" s="32">
        <f t="shared" si="1"/>
        <v>108695.65217391304</v>
      </c>
    </row>
    <row r="46" spans="1:15" x14ac:dyDescent="0.25">
      <c r="A46" s="1" t="s">
        <v>94</v>
      </c>
      <c r="B46" s="30">
        <v>20</v>
      </c>
      <c r="C46" s="6">
        <v>14</v>
      </c>
      <c r="D46" s="7">
        <v>1</v>
      </c>
      <c r="E46" s="6">
        <v>0</v>
      </c>
      <c r="F46" s="7">
        <v>0</v>
      </c>
      <c r="G46" s="6">
        <v>0</v>
      </c>
      <c r="H46" s="7">
        <v>0</v>
      </c>
      <c r="I46" s="6" t="s">
        <v>105</v>
      </c>
      <c r="J46" s="31">
        <v>5300000</v>
      </c>
      <c r="K46" s="1">
        <v>44</v>
      </c>
      <c r="L46" s="1">
        <v>0</v>
      </c>
      <c r="M46" s="1">
        <v>4</v>
      </c>
      <c r="N46" s="10">
        <f t="shared" si="0"/>
        <v>48</v>
      </c>
      <c r="O46" s="32">
        <f t="shared" si="1"/>
        <v>110416.66666666667</v>
      </c>
    </row>
    <row r="47" spans="1:15" x14ac:dyDescent="0.25">
      <c r="A47" s="1" t="s">
        <v>94</v>
      </c>
      <c r="B47" s="30">
        <v>20</v>
      </c>
      <c r="C47" s="6">
        <v>14</v>
      </c>
      <c r="D47" s="7">
        <v>1</v>
      </c>
      <c r="E47" s="6">
        <v>0</v>
      </c>
      <c r="F47" s="7">
        <v>0</v>
      </c>
      <c r="G47" s="6">
        <v>0</v>
      </c>
      <c r="H47" s="7">
        <v>0</v>
      </c>
      <c r="I47" s="6" t="s">
        <v>95</v>
      </c>
      <c r="J47" s="31">
        <v>5000000</v>
      </c>
      <c r="K47" s="1">
        <v>44</v>
      </c>
      <c r="L47" s="1">
        <v>0</v>
      </c>
      <c r="M47" s="1">
        <v>0</v>
      </c>
      <c r="N47" s="10">
        <f t="shared" si="0"/>
        <v>44</v>
      </c>
      <c r="O47" s="32">
        <f t="shared" si="1"/>
        <v>113636.36363636363</v>
      </c>
    </row>
    <row r="48" spans="1:15" x14ac:dyDescent="0.25">
      <c r="A48" s="1" t="s">
        <v>94</v>
      </c>
      <c r="B48" s="30">
        <v>19</v>
      </c>
      <c r="C48" s="6">
        <v>14</v>
      </c>
      <c r="D48" s="7">
        <v>1</v>
      </c>
      <c r="E48" s="6">
        <v>0</v>
      </c>
      <c r="F48" s="7">
        <v>0</v>
      </c>
      <c r="G48" s="6">
        <v>0</v>
      </c>
      <c r="H48" s="7">
        <v>0</v>
      </c>
      <c r="I48" s="6" t="s">
        <v>95</v>
      </c>
      <c r="J48" s="31">
        <v>5500000</v>
      </c>
      <c r="K48" s="1">
        <v>44</v>
      </c>
      <c r="L48" s="1">
        <v>0</v>
      </c>
      <c r="M48" s="1">
        <v>0</v>
      </c>
      <c r="N48" s="10">
        <f t="shared" si="0"/>
        <v>44</v>
      </c>
      <c r="O48" s="32">
        <f t="shared" si="1"/>
        <v>125000</v>
      </c>
    </row>
    <row r="49" spans="1:15" x14ac:dyDescent="0.25">
      <c r="A49" s="1" t="s">
        <v>94</v>
      </c>
      <c r="B49" s="30">
        <v>21</v>
      </c>
      <c r="C49" s="6">
        <v>14</v>
      </c>
      <c r="D49" s="7">
        <v>0</v>
      </c>
      <c r="E49" s="6">
        <v>0</v>
      </c>
      <c r="F49" s="7">
        <v>0</v>
      </c>
      <c r="G49" s="6">
        <v>0</v>
      </c>
      <c r="H49" s="7">
        <v>0</v>
      </c>
      <c r="I49" s="6" t="s">
        <v>103</v>
      </c>
      <c r="J49" s="31">
        <v>4900000</v>
      </c>
      <c r="K49" s="1">
        <v>44</v>
      </c>
      <c r="L49" s="1">
        <v>0</v>
      </c>
      <c r="M49" s="1">
        <v>3</v>
      </c>
      <c r="N49" s="10">
        <f t="shared" si="0"/>
        <v>47</v>
      </c>
      <c r="O49" s="32">
        <f t="shared" si="1"/>
        <v>104255.31914893616</v>
      </c>
    </row>
  </sheetData>
  <conditionalFormatting sqref="C46:I46">
    <cfRule type="colorScale" priority="5">
      <colorScale>
        <cfvo type="min"/>
        <cfvo type="max"/>
        <color rgb="FFFFEF9C"/>
        <color rgb="FF63BE7B"/>
      </colorScale>
    </cfRule>
  </conditionalFormatting>
  <conditionalFormatting sqref="C39:H39">
    <cfRule type="colorScale" priority="4">
      <colorScale>
        <cfvo type="min"/>
        <cfvo type="max"/>
        <color rgb="FFFFEF9C"/>
        <color rgb="FF63BE7B"/>
      </colorScale>
    </cfRule>
  </conditionalFormatting>
  <conditionalFormatting sqref="I39">
    <cfRule type="colorScale" priority="3">
      <colorScale>
        <cfvo type="min"/>
        <cfvo type="max"/>
        <color rgb="FFFFEF9C"/>
        <color rgb="FF63BE7B"/>
      </colorScale>
    </cfRule>
  </conditionalFormatting>
  <conditionalFormatting sqref="C41:H41">
    <cfRule type="colorScale" priority="2">
      <colorScale>
        <cfvo type="min"/>
        <cfvo type="max"/>
        <color rgb="FFFFEF9C"/>
        <color rgb="FF63BE7B"/>
      </colorScale>
    </cfRule>
  </conditionalFormatting>
  <conditionalFormatting sqref="I41">
    <cfRule type="colorScale" priority="1">
      <colorScale>
        <cfvo type="min"/>
        <cfvo type="max"/>
        <color rgb="FFFFEF9C"/>
        <color rgb="FF63BE7B"/>
      </colorScale>
    </cfRule>
  </conditionalFormatting>
  <conditionalFormatting sqref="C2:I38 C40:I40 C42:I45 C47:I49">
    <cfRule type="colorScale" priority="6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PLANNING_FINAL</vt:lpstr>
      <vt:lpstr>Aportacion</vt:lpstr>
      <vt:lpstr>PLANTILLA</vt:lpstr>
      <vt:lpstr>Planning</vt:lpstr>
      <vt:lpstr>PLANTILLA_v2</vt:lpstr>
      <vt:lpstr>Planning_v2</vt:lpstr>
      <vt:lpstr>IDEAS</vt:lpstr>
      <vt:lpstr>StepLATERAL</vt:lpstr>
      <vt:lpstr>MercadoPORTEROS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 Isaac</dc:creator>
  <cp:lastModifiedBy>PORTA Isaac</cp:lastModifiedBy>
  <dcterms:created xsi:type="dcterms:W3CDTF">2017-09-06T12:45:17Z</dcterms:created>
  <dcterms:modified xsi:type="dcterms:W3CDTF">2017-11-16T12:07:48Z</dcterms:modified>
</cp:coreProperties>
</file>