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dj\Desktop\190\repo\results\"/>
    </mc:Choice>
  </mc:AlternateContent>
  <xr:revisionPtr revIDLastSave="0" documentId="13_ncr:1_{6FE6F3B7-8854-4FA4-9450-7E5B5573451B}" xr6:coauthVersionLast="47" xr6:coauthVersionMax="47" xr10:uidLastSave="{00000000-0000-0000-0000-000000000000}"/>
  <bookViews>
    <workbookView minimized="1" xWindow="1080" yWindow="1080" windowWidth="17280" windowHeight="8964" firstSheet="2" activeTab="2" xr2:uid="{286CD93E-0D91-4423-8A07-E5A6C2CA16B5}"/>
  </bookViews>
  <sheets>
    <sheet name="ANN" sheetId="13" r:id="rId1"/>
    <sheet name="SVM" sheetId="14" r:id="rId2"/>
    <sheet name="Sheet1" sheetId="15" r:id="rId3"/>
    <sheet name="Anomaly Coefficient" sheetId="12" r:id="rId4"/>
    <sheet name="Dataset Grouping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5" l="1"/>
  <c r="L35" i="15"/>
  <c r="M50" i="13"/>
  <c r="M55" i="13"/>
  <c r="Y7" i="13"/>
  <c r="Y6" i="13"/>
  <c r="M2" i="13"/>
  <c r="U8" i="13"/>
  <c r="Q9" i="13"/>
  <c r="L50" i="15"/>
  <c r="L48" i="15"/>
  <c r="L46" i="15"/>
  <c r="L44" i="15"/>
  <c r="L42" i="15"/>
  <c r="L40" i="15"/>
  <c r="L38" i="15"/>
  <c r="K50" i="15"/>
  <c r="K48" i="15"/>
  <c r="K46" i="15"/>
  <c r="K44" i="15"/>
  <c r="K42" i="15"/>
  <c r="K40" i="15"/>
  <c r="K38" i="15"/>
  <c r="J50" i="15"/>
  <c r="J48" i="15"/>
  <c r="J46" i="15"/>
  <c r="J44" i="15"/>
  <c r="J42" i="15"/>
  <c r="J40" i="15"/>
  <c r="J38" i="15"/>
  <c r="I50" i="15"/>
  <c r="I48" i="15"/>
  <c r="I46" i="15"/>
  <c r="I44" i="15"/>
  <c r="I42" i="15"/>
  <c r="I40" i="15"/>
  <c r="I38" i="15"/>
  <c r="H50" i="15"/>
  <c r="H48" i="15"/>
  <c r="H46" i="15"/>
  <c r="H44" i="15"/>
  <c r="H42" i="15"/>
  <c r="H40" i="15"/>
  <c r="H38" i="15"/>
  <c r="G50" i="15"/>
  <c r="G48" i="15"/>
  <c r="G46" i="15"/>
  <c r="G44" i="15"/>
  <c r="G42" i="15"/>
  <c r="G40" i="15"/>
  <c r="F38" i="15"/>
  <c r="G38" i="15"/>
  <c r="F50" i="15"/>
  <c r="F48" i="15"/>
  <c r="F46" i="15"/>
  <c r="F44" i="15"/>
  <c r="F42" i="15"/>
  <c r="F40" i="15"/>
  <c r="E50" i="15"/>
  <c r="E48" i="15"/>
  <c r="E46" i="15"/>
  <c r="E44" i="15"/>
  <c r="E42" i="15"/>
  <c r="E40" i="15"/>
  <c r="E38" i="15"/>
  <c r="D50" i="15"/>
  <c r="D48" i="15"/>
  <c r="D46" i="15"/>
  <c r="D44" i="15"/>
  <c r="D42" i="15"/>
  <c r="D40" i="15"/>
  <c r="D38" i="15"/>
  <c r="AD20" i="14"/>
  <c r="AE18" i="14"/>
  <c r="AF18" i="14"/>
  <c r="AG18" i="14"/>
  <c r="AD18" i="14"/>
  <c r="AE17" i="14"/>
  <c r="AF17" i="14"/>
  <c r="AG17" i="14"/>
  <c r="AD17" i="14"/>
  <c r="AE16" i="14"/>
  <c r="AF16" i="14"/>
  <c r="AG16" i="14"/>
  <c r="AD16" i="14"/>
  <c r="AD14" i="14"/>
  <c r="AD13" i="14"/>
  <c r="AC13" i="14"/>
  <c r="AD12" i="14"/>
  <c r="AD11" i="14"/>
  <c r="AC12" i="14"/>
  <c r="AC11" i="14"/>
  <c r="R20" i="14"/>
  <c r="Y23" i="14"/>
  <c r="Z23" i="14"/>
  <c r="AA23" i="14"/>
  <c r="X23" i="14"/>
  <c r="Y22" i="14"/>
  <c r="Z22" i="14"/>
  <c r="AA22" i="14"/>
  <c r="X22" i="14"/>
  <c r="Y21" i="14"/>
  <c r="Z21" i="14"/>
  <c r="AA21" i="14"/>
  <c r="X21" i="14"/>
  <c r="Y18" i="14"/>
  <c r="Z18" i="14"/>
  <c r="AA18" i="14"/>
  <c r="X18" i="14"/>
  <c r="Z17" i="14"/>
  <c r="AA17" i="14"/>
  <c r="Y17" i="14"/>
  <c r="X17" i="14"/>
  <c r="AA16" i="14"/>
  <c r="Z16" i="14"/>
  <c r="Y16" i="14"/>
  <c r="X16" i="14"/>
  <c r="Y13" i="14"/>
  <c r="Z13" i="14"/>
  <c r="AA13" i="14"/>
  <c r="X13" i="14"/>
  <c r="Y12" i="14"/>
  <c r="Z12" i="14"/>
  <c r="AA12" i="14"/>
  <c r="X12" i="14"/>
  <c r="Z11" i="14"/>
  <c r="AA11" i="14"/>
  <c r="Y11" i="14"/>
  <c r="X11" i="14"/>
  <c r="T17" i="14"/>
  <c r="U17" i="14"/>
  <c r="S17" i="14"/>
  <c r="R17" i="14"/>
  <c r="T16" i="14"/>
  <c r="U16" i="14"/>
  <c r="S16" i="14"/>
  <c r="R16" i="14"/>
  <c r="T15" i="14"/>
  <c r="U15" i="14"/>
  <c r="S15" i="14"/>
  <c r="R15" i="14"/>
  <c r="T14" i="14"/>
  <c r="U14" i="14"/>
  <c r="S14" i="14"/>
  <c r="R14" i="14"/>
  <c r="S13" i="14"/>
  <c r="T13" i="14"/>
  <c r="U13" i="14"/>
  <c r="R13" i="14"/>
  <c r="T12" i="14"/>
  <c r="U12" i="14"/>
  <c r="S12" i="14"/>
  <c r="R12" i="14"/>
  <c r="T11" i="14"/>
  <c r="U11" i="14"/>
  <c r="S11" i="14"/>
  <c r="R11" i="14"/>
  <c r="G2" i="14"/>
  <c r="H2" i="14"/>
  <c r="I2" i="14"/>
  <c r="G3" i="14"/>
  <c r="H3" i="14"/>
  <c r="I3" i="14"/>
  <c r="G4" i="14"/>
  <c r="H4" i="14"/>
  <c r="I4" i="14"/>
  <c r="G5" i="14"/>
  <c r="H5" i="14"/>
  <c r="I5" i="14"/>
  <c r="G6" i="14"/>
  <c r="H6" i="14"/>
  <c r="I6" i="14"/>
  <c r="G7" i="14"/>
  <c r="H7" i="14"/>
  <c r="I7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X16" i="13"/>
  <c r="Y16" i="13"/>
  <c r="X14" i="13"/>
  <c r="Y14" i="13"/>
  <c r="X13" i="13"/>
  <c r="Y13" i="13"/>
  <c r="X12" i="13"/>
  <c r="Y12" i="13"/>
  <c r="W17" i="13"/>
  <c r="W16" i="13"/>
  <c r="W14" i="13"/>
  <c r="W13" i="13"/>
  <c r="W12" i="13"/>
  <c r="L56" i="13"/>
  <c r="M56" i="13"/>
  <c r="X17" i="13" s="1"/>
  <c r="L48" i="13"/>
  <c r="M48" i="13"/>
  <c r="N48" i="13"/>
  <c r="L32" i="13"/>
  <c r="M32" i="13"/>
  <c r="N32" i="13"/>
  <c r="L24" i="13"/>
  <c r="M24" i="13"/>
  <c r="N24" i="13"/>
  <c r="L16" i="13"/>
  <c r="M16" i="13"/>
  <c r="N16" i="13"/>
  <c r="V16" i="13"/>
  <c r="V14" i="13"/>
  <c r="V13" i="13"/>
  <c r="V12" i="13"/>
  <c r="L43" i="13"/>
  <c r="L44" i="13"/>
  <c r="L45" i="13"/>
  <c r="L46" i="13"/>
  <c r="L47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L50" i="13"/>
  <c r="K50" i="13"/>
  <c r="M47" i="13"/>
  <c r="K47" i="13"/>
  <c r="M46" i="13"/>
  <c r="K46" i="13"/>
  <c r="M45" i="13"/>
  <c r="K45" i="13"/>
  <c r="M44" i="13"/>
  <c r="K44" i="13"/>
  <c r="M43" i="13"/>
  <c r="K43" i="13"/>
  <c r="M42" i="13"/>
  <c r="L42" i="13"/>
  <c r="K42" i="13"/>
  <c r="K26" i="13"/>
  <c r="L26" i="13"/>
  <c r="M26" i="13"/>
  <c r="N26" i="13"/>
  <c r="K27" i="13"/>
  <c r="L27" i="13"/>
  <c r="M27" i="13"/>
  <c r="N27" i="13"/>
  <c r="K28" i="13"/>
  <c r="L28" i="13"/>
  <c r="M28" i="13"/>
  <c r="N28" i="13"/>
  <c r="K29" i="13"/>
  <c r="L29" i="13"/>
  <c r="M29" i="13"/>
  <c r="N29" i="13"/>
  <c r="K30" i="13"/>
  <c r="L30" i="13"/>
  <c r="M30" i="13"/>
  <c r="N30" i="13"/>
  <c r="K31" i="13"/>
  <c r="L31" i="13"/>
  <c r="M31" i="13"/>
  <c r="N31" i="13"/>
  <c r="K32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L12" i="13"/>
  <c r="M15" i="13"/>
  <c r="L15" i="13"/>
  <c r="K15" i="13"/>
  <c r="M14" i="13"/>
  <c r="L14" i="13"/>
  <c r="K14" i="13"/>
  <c r="M13" i="13"/>
  <c r="L13" i="13"/>
  <c r="K13" i="13"/>
  <c r="M12" i="13"/>
  <c r="K12" i="13"/>
  <c r="M11" i="13"/>
  <c r="L11" i="13"/>
  <c r="K11" i="13"/>
  <c r="M10" i="13"/>
  <c r="L10" i="13"/>
  <c r="K10" i="13"/>
  <c r="M6" i="13"/>
  <c r="M7" i="13"/>
  <c r="L6" i="13"/>
  <c r="L7" i="13"/>
  <c r="K6" i="13"/>
  <c r="K7" i="13"/>
  <c r="M3" i="13"/>
  <c r="M4" i="13"/>
  <c r="L2" i="13"/>
  <c r="L8" i="13" s="1"/>
  <c r="W11" i="13" s="1"/>
  <c r="L3" i="13"/>
  <c r="L4" i="13"/>
  <c r="K2" i="13"/>
  <c r="K3" i="13"/>
  <c r="K4" i="13"/>
  <c r="M5" i="13"/>
  <c r="L5" i="13"/>
  <c r="K5" i="13"/>
  <c r="M95" i="12"/>
  <c r="N95" i="12" s="1"/>
  <c r="L95" i="12"/>
  <c r="K95" i="12"/>
  <c r="M94" i="12"/>
  <c r="N94" i="12" s="1"/>
  <c r="L94" i="12"/>
  <c r="K94" i="12"/>
  <c r="M93" i="12"/>
  <c r="N93" i="12" s="1"/>
  <c r="L93" i="12"/>
  <c r="K93" i="12"/>
  <c r="M92" i="12"/>
  <c r="N92" i="12" s="1"/>
  <c r="L92" i="12"/>
  <c r="K92" i="12"/>
  <c r="M91" i="12"/>
  <c r="N91" i="12" s="1"/>
  <c r="L91" i="12"/>
  <c r="K91" i="12"/>
  <c r="M90" i="12"/>
  <c r="N90" i="12" s="1"/>
  <c r="L90" i="12"/>
  <c r="K90" i="12"/>
  <c r="M89" i="12"/>
  <c r="N89" i="12" s="1"/>
  <c r="L89" i="12"/>
  <c r="K89" i="12"/>
  <c r="M88" i="12"/>
  <c r="N88" i="12" s="1"/>
  <c r="L88" i="12"/>
  <c r="K88" i="12"/>
  <c r="M87" i="12"/>
  <c r="N87" i="12" s="1"/>
  <c r="L87" i="12"/>
  <c r="K87" i="12"/>
  <c r="M86" i="12"/>
  <c r="N86" i="12" s="1"/>
  <c r="L86" i="12"/>
  <c r="K86" i="12"/>
  <c r="M85" i="12"/>
  <c r="N85" i="12" s="1"/>
  <c r="L85" i="12"/>
  <c r="K85" i="12"/>
  <c r="M84" i="12"/>
  <c r="N84" i="12" s="1"/>
  <c r="L84" i="12"/>
  <c r="K84" i="12"/>
  <c r="M83" i="12"/>
  <c r="N83" i="12" s="1"/>
  <c r="L83" i="12"/>
  <c r="K83" i="12"/>
  <c r="M82" i="12"/>
  <c r="N82" i="12" s="1"/>
  <c r="L82" i="12"/>
  <c r="K82" i="12"/>
  <c r="M81" i="12"/>
  <c r="N81" i="12" s="1"/>
  <c r="L81" i="12"/>
  <c r="K81" i="12"/>
  <c r="M80" i="12"/>
  <c r="N80" i="12" s="1"/>
  <c r="L80" i="12"/>
  <c r="K80" i="12"/>
  <c r="M79" i="12"/>
  <c r="N79" i="12" s="1"/>
  <c r="L79" i="12"/>
  <c r="K79" i="12"/>
  <c r="M78" i="12"/>
  <c r="N78" i="12" s="1"/>
  <c r="L78" i="12"/>
  <c r="K78" i="12"/>
  <c r="M77" i="12"/>
  <c r="N77" i="12" s="1"/>
  <c r="L77" i="12"/>
  <c r="K77" i="12"/>
  <c r="M76" i="12"/>
  <c r="N76" i="12" s="1"/>
  <c r="L76" i="12"/>
  <c r="K76" i="12"/>
  <c r="M75" i="12"/>
  <c r="N75" i="12" s="1"/>
  <c r="L75" i="12"/>
  <c r="K75" i="12"/>
  <c r="M71" i="12"/>
  <c r="N71" i="12" s="1"/>
  <c r="L71" i="12"/>
  <c r="K71" i="12"/>
  <c r="M70" i="12"/>
  <c r="N70" i="12" s="1"/>
  <c r="L70" i="12"/>
  <c r="K70" i="12"/>
  <c r="M69" i="12"/>
  <c r="N69" i="12" s="1"/>
  <c r="L69" i="12"/>
  <c r="K69" i="12"/>
  <c r="M68" i="12"/>
  <c r="N68" i="12" s="1"/>
  <c r="L68" i="12"/>
  <c r="K68" i="12"/>
  <c r="M67" i="12"/>
  <c r="N67" i="12" s="1"/>
  <c r="L67" i="12"/>
  <c r="K67" i="12"/>
  <c r="M66" i="12"/>
  <c r="N66" i="12" s="1"/>
  <c r="L66" i="12"/>
  <c r="K66" i="12"/>
  <c r="M65" i="12"/>
  <c r="N65" i="12" s="1"/>
  <c r="L65" i="12"/>
  <c r="K65" i="12"/>
  <c r="M64" i="12"/>
  <c r="N64" i="12" s="1"/>
  <c r="L64" i="12"/>
  <c r="K64" i="12"/>
  <c r="M63" i="12"/>
  <c r="N63" i="12" s="1"/>
  <c r="L63" i="12"/>
  <c r="K63" i="12"/>
  <c r="M62" i="12"/>
  <c r="N62" i="12" s="1"/>
  <c r="L62" i="12"/>
  <c r="K62" i="12"/>
  <c r="M61" i="12"/>
  <c r="N61" i="12" s="1"/>
  <c r="L61" i="12"/>
  <c r="K61" i="12"/>
  <c r="M60" i="12"/>
  <c r="N60" i="12" s="1"/>
  <c r="L60" i="12"/>
  <c r="K60" i="12"/>
  <c r="M59" i="12"/>
  <c r="N59" i="12" s="1"/>
  <c r="L59" i="12"/>
  <c r="K59" i="12"/>
  <c r="M58" i="12"/>
  <c r="N58" i="12" s="1"/>
  <c r="L58" i="12"/>
  <c r="K58" i="12"/>
  <c r="M57" i="12"/>
  <c r="N57" i="12" s="1"/>
  <c r="L57" i="12"/>
  <c r="K57" i="12"/>
  <c r="M56" i="12"/>
  <c r="N56" i="12" s="1"/>
  <c r="L56" i="12"/>
  <c r="K56" i="12"/>
  <c r="M55" i="12"/>
  <c r="N55" i="12" s="1"/>
  <c r="L55" i="12"/>
  <c r="K55" i="12"/>
  <c r="M54" i="12"/>
  <c r="N54" i="12" s="1"/>
  <c r="L54" i="12"/>
  <c r="K54" i="12"/>
  <c r="M53" i="12"/>
  <c r="N53" i="12" s="1"/>
  <c r="L53" i="12"/>
  <c r="K53" i="12"/>
  <c r="M52" i="12"/>
  <c r="N52" i="12" s="1"/>
  <c r="L52" i="12"/>
  <c r="K52" i="12"/>
  <c r="M51" i="12"/>
  <c r="N51" i="12" s="1"/>
  <c r="L51" i="12"/>
  <c r="K51" i="12"/>
  <c r="M47" i="12"/>
  <c r="N47" i="12" s="1"/>
  <c r="L47" i="12"/>
  <c r="K47" i="12"/>
  <c r="M46" i="12"/>
  <c r="N46" i="12" s="1"/>
  <c r="L46" i="12"/>
  <c r="K46" i="12"/>
  <c r="M45" i="12"/>
  <c r="N45" i="12" s="1"/>
  <c r="L45" i="12"/>
  <c r="K45" i="12"/>
  <c r="M44" i="12"/>
  <c r="N44" i="12" s="1"/>
  <c r="L44" i="12"/>
  <c r="K44" i="12"/>
  <c r="M43" i="12"/>
  <c r="N43" i="12" s="1"/>
  <c r="L43" i="12"/>
  <c r="K43" i="12"/>
  <c r="M42" i="12"/>
  <c r="N42" i="12" s="1"/>
  <c r="L42" i="12"/>
  <c r="K42" i="12"/>
  <c r="M41" i="12"/>
  <c r="N41" i="12" s="1"/>
  <c r="L41" i="12"/>
  <c r="K41" i="12"/>
  <c r="M40" i="12"/>
  <c r="N40" i="12" s="1"/>
  <c r="L40" i="12"/>
  <c r="K40" i="12"/>
  <c r="M39" i="12"/>
  <c r="N39" i="12" s="1"/>
  <c r="L39" i="12"/>
  <c r="K39" i="12"/>
  <c r="M38" i="12"/>
  <c r="N38" i="12" s="1"/>
  <c r="L38" i="12"/>
  <c r="K38" i="12"/>
  <c r="M37" i="12"/>
  <c r="N37" i="12" s="1"/>
  <c r="L37" i="12"/>
  <c r="K37" i="12"/>
  <c r="M36" i="12"/>
  <c r="N36" i="12" s="1"/>
  <c r="L36" i="12"/>
  <c r="K36" i="12"/>
  <c r="M35" i="12"/>
  <c r="N35" i="12" s="1"/>
  <c r="L35" i="12"/>
  <c r="K35" i="12"/>
  <c r="M34" i="12"/>
  <c r="N34" i="12" s="1"/>
  <c r="L34" i="12"/>
  <c r="K34" i="12"/>
  <c r="M33" i="12"/>
  <c r="N33" i="12" s="1"/>
  <c r="L33" i="12"/>
  <c r="K33" i="12"/>
  <c r="M32" i="12"/>
  <c r="N32" i="12" s="1"/>
  <c r="L32" i="12"/>
  <c r="K32" i="12"/>
  <c r="M31" i="12"/>
  <c r="N31" i="12" s="1"/>
  <c r="L31" i="12"/>
  <c r="K31" i="12"/>
  <c r="M30" i="12"/>
  <c r="N30" i="12" s="1"/>
  <c r="L30" i="12"/>
  <c r="K30" i="12"/>
  <c r="M29" i="12"/>
  <c r="N29" i="12" s="1"/>
  <c r="L29" i="12"/>
  <c r="K29" i="12"/>
  <c r="M28" i="12"/>
  <c r="N28" i="12" s="1"/>
  <c r="L28" i="12"/>
  <c r="K28" i="12"/>
  <c r="M27" i="12"/>
  <c r="N27" i="12" s="1"/>
  <c r="L27" i="12"/>
  <c r="K27" i="12"/>
  <c r="M23" i="12"/>
  <c r="N23" i="12" s="1"/>
  <c r="L23" i="12"/>
  <c r="K23" i="12"/>
  <c r="M22" i="12"/>
  <c r="N22" i="12" s="1"/>
  <c r="L22" i="12"/>
  <c r="K22" i="12"/>
  <c r="M21" i="12"/>
  <c r="N21" i="12" s="1"/>
  <c r="L21" i="12"/>
  <c r="K21" i="12"/>
  <c r="M20" i="12"/>
  <c r="N20" i="12" s="1"/>
  <c r="L20" i="12"/>
  <c r="K20" i="12"/>
  <c r="M19" i="12"/>
  <c r="N19" i="12" s="1"/>
  <c r="L19" i="12"/>
  <c r="K19" i="12"/>
  <c r="M18" i="12"/>
  <c r="N18" i="12" s="1"/>
  <c r="L18" i="12"/>
  <c r="K18" i="12"/>
  <c r="M17" i="12"/>
  <c r="N17" i="12" s="1"/>
  <c r="L17" i="12"/>
  <c r="K17" i="12"/>
  <c r="M16" i="12"/>
  <c r="N16" i="12" s="1"/>
  <c r="L16" i="12"/>
  <c r="K16" i="12"/>
  <c r="M15" i="12"/>
  <c r="N15" i="12" s="1"/>
  <c r="L15" i="12"/>
  <c r="K15" i="12"/>
  <c r="M14" i="12"/>
  <c r="N14" i="12" s="1"/>
  <c r="L14" i="12"/>
  <c r="K14" i="12"/>
  <c r="M13" i="12"/>
  <c r="N13" i="12" s="1"/>
  <c r="L13" i="12"/>
  <c r="K13" i="12"/>
  <c r="M12" i="12"/>
  <c r="N12" i="12" s="1"/>
  <c r="L12" i="12"/>
  <c r="K12" i="12"/>
  <c r="M11" i="12"/>
  <c r="N11" i="12" s="1"/>
  <c r="L11" i="12"/>
  <c r="K11" i="12"/>
  <c r="M10" i="12"/>
  <c r="N10" i="12" s="1"/>
  <c r="L10" i="12"/>
  <c r="K10" i="12"/>
  <c r="M9" i="12"/>
  <c r="N9" i="12" s="1"/>
  <c r="L9" i="12"/>
  <c r="K9" i="12"/>
  <c r="M8" i="12"/>
  <c r="N8" i="12" s="1"/>
  <c r="L8" i="12"/>
  <c r="K8" i="12"/>
  <c r="M7" i="12"/>
  <c r="N7" i="12" s="1"/>
  <c r="L7" i="12"/>
  <c r="K7" i="12"/>
  <c r="M6" i="12"/>
  <c r="N6" i="12" s="1"/>
  <c r="L6" i="12"/>
  <c r="K6" i="12"/>
  <c r="M5" i="12"/>
  <c r="N5" i="12" s="1"/>
  <c r="L5" i="12"/>
  <c r="K5" i="12"/>
  <c r="M4" i="12"/>
  <c r="N4" i="12" s="1"/>
  <c r="L4" i="12"/>
  <c r="K4" i="12"/>
  <c r="M3" i="12"/>
  <c r="N3" i="12" s="1"/>
  <c r="L3" i="12"/>
  <c r="K3" i="12"/>
  <c r="M8" i="13" l="1"/>
  <c r="X11" i="13" s="1"/>
  <c r="J6" i="14"/>
  <c r="J2" i="14"/>
  <c r="J7" i="14"/>
  <c r="J4" i="14"/>
  <c r="J5" i="14"/>
  <c r="G8" i="14"/>
  <c r="I8" i="14"/>
  <c r="H8" i="14"/>
  <c r="J3" i="14"/>
  <c r="J11" i="14"/>
  <c r="J15" i="14"/>
  <c r="J52" i="14"/>
  <c r="I24" i="14"/>
  <c r="J21" i="14"/>
  <c r="G32" i="14"/>
  <c r="J27" i="14"/>
  <c r="J31" i="14"/>
  <c r="I40" i="14"/>
  <c r="J37" i="14"/>
  <c r="G48" i="14"/>
  <c r="J43" i="14"/>
  <c r="J47" i="14"/>
  <c r="I56" i="14"/>
  <c r="J54" i="14"/>
  <c r="J13" i="14"/>
  <c r="J19" i="14"/>
  <c r="J23" i="14"/>
  <c r="J29" i="14"/>
  <c r="J35" i="14"/>
  <c r="J39" i="14"/>
  <c r="J45" i="14"/>
  <c r="H16" i="14"/>
  <c r="J14" i="14"/>
  <c r="J20" i="14"/>
  <c r="H32" i="14"/>
  <c r="J30" i="14"/>
  <c r="J36" i="14"/>
  <c r="H48" i="14"/>
  <c r="J46" i="14"/>
  <c r="J53" i="14"/>
  <c r="I16" i="14"/>
  <c r="I32" i="14"/>
  <c r="G40" i="14"/>
  <c r="I48" i="14"/>
  <c r="G56" i="14"/>
  <c r="J12" i="14"/>
  <c r="H24" i="14"/>
  <c r="J22" i="14"/>
  <c r="J28" i="14"/>
  <c r="H40" i="14"/>
  <c r="J38" i="14"/>
  <c r="J44" i="14"/>
  <c r="H56" i="14"/>
  <c r="J51" i="14"/>
  <c r="J55" i="14"/>
  <c r="G16" i="14"/>
  <c r="G24" i="14"/>
  <c r="J10" i="14"/>
  <c r="J18" i="14"/>
  <c r="J26" i="14"/>
  <c r="J34" i="14"/>
  <c r="J42" i="14"/>
  <c r="J50" i="14"/>
  <c r="M40" i="13"/>
  <c r="X15" i="13" s="1"/>
  <c r="L40" i="13"/>
  <c r="W15" i="13" s="1"/>
  <c r="N18" i="13"/>
  <c r="N53" i="13"/>
  <c r="K56" i="13"/>
  <c r="V17" i="13" s="1"/>
  <c r="N52" i="13"/>
  <c r="N51" i="13"/>
  <c r="N55" i="13"/>
  <c r="N50" i="13"/>
  <c r="N54" i="13"/>
  <c r="N47" i="13"/>
  <c r="N45" i="13"/>
  <c r="N43" i="13"/>
  <c r="K48" i="13"/>
  <c r="N44" i="13"/>
  <c r="N42" i="13"/>
  <c r="N46" i="13"/>
  <c r="N37" i="13"/>
  <c r="N36" i="13"/>
  <c r="N35" i="13"/>
  <c r="N39" i="13"/>
  <c r="N34" i="13"/>
  <c r="N38" i="13"/>
  <c r="K40" i="13"/>
  <c r="V15" i="13" s="1"/>
  <c r="K8" i="13"/>
  <c r="V11" i="13" s="1"/>
  <c r="N11" i="13"/>
  <c r="N20" i="13"/>
  <c r="N21" i="13"/>
  <c r="N23" i="13"/>
  <c r="N22" i="13"/>
  <c r="N19" i="13"/>
  <c r="K24" i="13"/>
  <c r="K16" i="13"/>
  <c r="N15" i="13"/>
  <c r="N13" i="13"/>
  <c r="N12" i="13"/>
  <c r="N10" i="13"/>
  <c r="N14" i="13"/>
  <c r="N3" i="13"/>
  <c r="N5" i="13"/>
  <c r="N2" i="13"/>
  <c r="N4" i="13"/>
  <c r="N7" i="13"/>
  <c r="N6" i="13"/>
  <c r="N56" i="13" l="1"/>
  <c r="Y17" i="13" s="1"/>
  <c r="N8" i="13"/>
  <c r="Y11" i="13" s="1"/>
  <c r="X7" i="13"/>
  <c r="X6" i="13"/>
  <c r="J8" i="14"/>
  <c r="J32" i="14"/>
  <c r="J16" i="14"/>
  <c r="J48" i="14"/>
  <c r="J40" i="14"/>
  <c r="J56" i="14"/>
  <c r="J24" i="14"/>
  <c r="N40" i="13"/>
  <c r="Y15" i="13" s="1"/>
</calcChain>
</file>

<file path=xl/sharedStrings.xml><?xml version="1.0" encoding="utf-8"?>
<sst xmlns="http://schemas.openxmlformats.org/spreadsheetml/2006/main" count="299" uniqueCount="75">
  <si>
    <t>C</t>
  </si>
  <si>
    <t>D1</t>
  </si>
  <si>
    <t>D2</t>
  </si>
  <si>
    <t>D3</t>
  </si>
  <si>
    <t>D4</t>
  </si>
  <si>
    <t>D5</t>
  </si>
  <si>
    <t>D6</t>
  </si>
  <si>
    <t>D7</t>
  </si>
  <si>
    <t>Split</t>
  </si>
  <si>
    <t>CV Accuracy</t>
  </si>
  <si>
    <t>Accuracy</t>
  </si>
  <si>
    <t>Precision</t>
  </si>
  <si>
    <t>F1 Score</t>
  </si>
  <si>
    <t>Kfold</t>
  </si>
  <si>
    <t>gamma</t>
  </si>
  <si>
    <t>80-20</t>
  </si>
  <si>
    <t>Notes</t>
  </si>
  <si>
    <t>Train</t>
  </si>
  <si>
    <t>Recall</t>
  </si>
  <si>
    <t>Dataset</t>
  </si>
  <si>
    <t>PV %</t>
  </si>
  <si>
    <t>NM %</t>
  </si>
  <si>
    <t>solver</t>
  </si>
  <si>
    <t>activation</t>
  </si>
  <si>
    <t>hidden layers</t>
  </si>
  <si>
    <t>(40, 40, 40)</t>
  </si>
  <si>
    <t>TP</t>
  </si>
  <si>
    <t>TN</t>
  </si>
  <si>
    <t>FP</t>
  </si>
  <si>
    <t>FN</t>
  </si>
  <si>
    <t>(60, 60, 60)</t>
  </si>
  <si>
    <t>Unbalanced</t>
  </si>
  <si>
    <t>Threshold</t>
  </si>
  <si>
    <t>TP - BEN</t>
  </si>
  <si>
    <t>TN - BEN</t>
  </si>
  <si>
    <t>FP - BEN</t>
  </si>
  <si>
    <t>FN - BEN</t>
  </si>
  <si>
    <t>TP - MAL</t>
  </si>
  <si>
    <t>TN - MAL</t>
  </si>
  <si>
    <t>FP - MAL</t>
  </si>
  <si>
    <t>FN - MAL</t>
  </si>
  <si>
    <t>No Losses -  A and B</t>
  </si>
  <si>
    <t>No Losses - Frequency A</t>
  </si>
  <si>
    <t>No Losses - Frequency B</t>
  </si>
  <si>
    <t>relu</t>
  </si>
  <si>
    <t>SGD</t>
  </si>
  <si>
    <t>Batch size</t>
  </si>
  <si>
    <t>Epochs</t>
  </si>
  <si>
    <t>lr</t>
  </si>
  <si>
    <t>F1</t>
  </si>
  <si>
    <t>D1 (0% PV)</t>
  </si>
  <si>
    <t>D2 (20% PV)</t>
  </si>
  <si>
    <t>D3 (70% PV)</t>
  </si>
  <si>
    <t>D2 (20% PV, 0% NM)</t>
  </si>
  <si>
    <t>D4 (20% PV, 20% NM)</t>
  </si>
  <si>
    <t>D5 (20% PV, 70% NM)</t>
  </si>
  <si>
    <t>D3 (70% PV, 0% NM)</t>
  </si>
  <si>
    <t>D6 (70% PV, 20% NM)</t>
  </si>
  <si>
    <t>D7 (70% PV, 70% NM)</t>
  </si>
  <si>
    <t>Benign</t>
  </si>
  <si>
    <t>Mal</t>
  </si>
  <si>
    <t>CM1</t>
  </si>
  <si>
    <t>CM2</t>
  </si>
  <si>
    <t>cm3</t>
  </si>
  <si>
    <t>cm2</t>
  </si>
  <si>
    <t>cm1</t>
  </si>
  <si>
    <t>cm4</t>
  </si>
  <si>
    <t>cm5</t>
  </si>
  <si>
    <t>cm6</t>
  </si>
  <si>
    <t>cm7</t>
  </si>
  <si>
    <t>cm8</t>
  </si>
  <si>
    <t>weighted average</t>
  </si>
  <si>
    <t>average error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</si>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</sst>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7F7F7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rgb="FF3F3F3F"/>
      </bottom>
      <diagonal/>
    </border>
    <border>
      <left/>
      <right/>
      <top style="thick">
        <color indexed="64"/>
      </top>
      <bottom style="double">
        <color rgb="FF3F3F3F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double">
        <color rgb="FF3F3F3F"/>
      </bottom>
      <diagonal/>
    </border>
    <border>
      <left style="thick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indexed="64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3" borderId="0" applyNumberFormat="0" applyBorder="0" applyAlignment="0" applyProtection="0"/>
    <xf numFmtId="0" fontId="7" fillId="4" borderId="6" applyNumberFormat="0" applyAlignment="0" applyProtection="0"/>
    <xf numFmtId="0" fontId="8" fillId="5" borderId="6" applyNumberFormat="0" applyAlignment="0" applyProtection="0"/>
    <xf numFmtId="0" fontId="4" fillId="6" borderId="7" applyNumberFormat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0" fontId="4" fillId="2" borderId="3" xfId="2" applyFont="1" applyFill="1" applyBorder="1" applyAlignment="1">
      <alignment horizontal="center"/>
    </xf>
    <xf numFmtId="164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0" borderId="0" xfId="1" applyBorder="1"/>
    <xf numFmtId="0" fontId="4" fillId="2" borderId="0" xfId="2" applyFont="1" applyFill="1" applyBorder="1" applyAlignment="1">
      <alignment horizontal="center"/>
    </xf>
    <xf numFmtId="0" fontId="4" fillId="2" borderId="0" xfId="2" applyNumberFormat="1" applyFont="1" applyFill="1" applyBorder="1" applyAlignment="1">
      <alignment horizontal="center"/>
    </xf>
    <xf numFmtId="0" fontId="0" fillId="0" borderId="0" xfId="0" applyBorder="1"/>
    <xf numFmtId="0" fontId="4" fillId="6" borderId="13" xfId="6" applyBorder="1" applyAlignment="1">
      <alignment horizontal="center"/>
    </xf>
    <xf numFmtId="0" fontId="4" fillId="6" borderId="7" xfId="6" applyAlignment="1">
      <alignment horizontal="center"/>
    </xf>
    <xf numFmtId="0" fontId="8" fillId="5" borderId="14" xfId="5" applyBorder="1" applyAlignment="1">
      <alignment horizontal="center"/>
    </xf>
    <xf numFmtId="0" fontId="7" fillId="4" borderId="15" xfId="4" applyBorder="1" applyAlignment="1">
      <alignment horizontal="center"/>
    </xf>
    <xf numFmtId="0" fontId="8" fillId="5" borderId="15" xfId="5" applyBorder="1" applyAlignment="1">
      <alignment horizontal="center"/>
    </xf>
    <xf numFmtId="0" fontId="7" fillId="4" borderId="16" xfId="4" applyBorder="1" applyAlignment="1">
      <alignment horizontal="center"/>
    </xf>
    <xf numFmtId="0" fontId="4" fillId="6" borderId="17" xfId="6" applyBorder="1" applyAlignment="1">
      <alignment horizontal="center"/>
    </xf>
    <xf numFmtId="0" fontId="9" fillId="7" borderId="18" xfId="7" applyFont="1" applyBorder="1" applyAlignment="1">
      <alignment horizontal="center"/>
    </xf>
    <xf numFmtId="0" fontId="5" fillId="7" borderId="0" xfId="7" applyBorder="1"/>
    <xf numFmtId="164" fontId="5" fillId="8" borderId="0" xfId="8" applyNumberFormat="1" applyBorder="1"/>
    <xf numFmtId="164" fontId="5" fillId="9" borderId="0" xfId="9" applyNumberFormat="1" applyBorder="1"/>
    <xf numFmtId="0" fontId="5" fillId="7" borderId="19" xfId="7" applyBorder="1"/>
    <xf numFmtId="0" fontId="9" fillId="0" borderId="18" xfId="0" applyFont="1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22" xfId="0" applyBorder="1"/>
    <xf numFmtId="0" fontId="4" fillId="6" borderId="27" xfId="6" applyBorder="1" applyAlignment="1">
      <alignment horizontal="center"/>
    </xf>
    <xf numFmtId="0" fontId="4" fillId="6" borderId="28" xfId="6" applyBorder="1" applyAlignment="1">
      <alignment horizontal="center"/>
    </xf>
    <xf numFmtId="0" fontId="9" fillId="7" borderId="29" xfId="7" applyFont="1" applyBorder="1" applyAlignment="1">
      <alignment horizontal="center"/>
    </xf>
    <xf numFmtId="0" fontId="5" fillId="7" borderId="0" xfId="7"/>
    <xf numFmtId="0" fontId="5" fillId="7" borderId="30" xfId="7" applyBorder="1"/>
    <xf numFmtId="0" fontId="9" fillId="0" borderId="29" xfId="0" applyFont="1" applyBorder="1" applyAlignment="1">
      <alignment horizontal="center"/>
    </xf>
    <xf numFmtId="0" fontId="0" fillId="0" borderId="30" xfId="0" applyBorder="1"/>
    <xf numFmtId="0" fontId="9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9" fillId="0" borderId="0" xfId="0" applyFont="1" applyBorder="1"/>
    <xf numFmtId="164" fontId="0" fillId="0" borderId="3" xfId="0" applyNumberFormat="1" applyBorder="1"/>
    <xf numFmtId="164" fontId="0" fillId="0" borderId="0" xfId="0" applyNumberFormat="1" applyBorder="1"/>
    <xf numFmtId="164" fontId="9" fillId="0" borderId="3" xfId="0" applyNumberFormat="1" applyFont="1" applyBorder="1"/>
    <xf numFmtId="164" fontId="0" fillId="0" borderId="5" xfId="0" applyNumberFormat="1" applyBorder="1"/>
    <xf numFmtId="164" fontId="9" fillId="0" borderId="0" xfId="0" applyNumberFormat="1" applyFont="1" applyBorder="1"/>
    <xf numFmtId="0" fontId="10" fillId="3" borderId="10" xfId="3" applyFont="1" applyBorder="1" applyAlignment="1">
      <alignment horizontal="left"/>
    </xf>
    <xf numFmtId="0" fontId="10" fillId="3" borderId="11" xfId="3" applyFont="1" applyBorder="1" applyAlignment="1">
      <alignment horizontal="left"/>
    </xf>
    <xf numFmtId="0" fontId="10" fillId="3" borderId="12" xfId="3" applyFont="1" applyBorder="1" applyAlignment="1">
      <alignment horizontal="left"/>
    </xf>
    <xf numFmtId="0" fontId="11" fillId="12" borderId="23" xfId="12" applyFont="1" applyBorder="1" applyAlignment="1">
      <alignment horizontal="left"/>
    </xf>
    <xf numFmtId="0" fontId="11" fillId="12" borderId="24" xfId="12" applyFont="1" applyBorder="1" applyAlignment="1">
      <alignment horizontal="left"/>
    </xf>
    <xf numFmtId="0" fontId="11" fillId="12" borderId="25" xfId="12" applyFont="1" applyBorder="1" applyAlignment="1">
      <alignment horizontal="left"/>
    </xf>
    <xf numFmtId="0" fontId="11" fillId="12" borderId="26" xfId="12" applyFont="1" applyBorder="1" applyAlignment="1">
      <alignment horizontal="left"/>
    </xf>
    <xf numFmtId="0" fontId="9" fillId="10" borderId="23" xfId="10" applyFont="1" applyBorder="1" applyAlignment="1">
      <alignment horizontal="left"/>
    </xf>
    <xf numFmtId="0" fontId="9" fillId="10" borderId="24" xfId="10" applyFont="1" applyBorder="1" applyAlignment="1">
      <alignment horizontal="left"/>
    </xf>
    <xf numFmtId="0" fontId="9" fillId="10" borderId="25" xfId="10" applyFont="1" applyBorder="1" applyAlignment="1">
      <alignment horizontal="left"/>
    </xf>
    <xf numFmtId="0" fontId="9" fillId="10" borderId="26" xfId="10" applyFont="1" applyBorder="1" applyAlignment="1">
      <alignment horizontal="left"/>
    </xf>
    <xf numFmtId="0" fontId="9" fillId="11" borderId="23" xfId="11" applyFont="1" applyBorder="1" applyAlignment="1">
      <alignment horizontal="left"/>
    </xf>
    <xf numFmtId="0" fontId="9" fillId="11" borderId="24" xfId="11" applyFont="1" applyBorder="1" applyAlignment="1">
      <alignment horizontal="left"/>
    </xf>
    <xf numFmtId="0" fontId="9" fillId="11" borderId="25" xfId="11" applyFont="1" applyBorder="1" applyAlignment="1">
      <alignment horizontal="left"/>
    </xf>
    <xf numFmtId="0" fontId="9" fillId="11" borderId="26" xfId="11" applyFont="1" applyBorder="1" applyAlignment="1">
      <alignment horizontal="left"/>
    </xf>
    <xf numFmtId="10" fontId="0" fillId="0" borderId="0" xfId="13" applyNumberFormat="1" applyFont="1"/>
    <xf numFmtId="167" fontId="0" fillId="0" borderId="0" xfId="13" applyNumberFormat="1" applyFont="1"/>
    <xf numFmtId="0" fontId="0" fillId="13" borderId="0" xfId="0" applyFill="1"/>
  </cellXfs>
  <cellStyles count="14">
    <cellStyle name="20% - Accent1" xfId="7" builtinId="30"/>
    <cellStyle name="20% - Accent2" xfId="8" builtinId="34"/>
    <cellStyle name="20% - Accent4" xfId="10" builtinId="42"/>
    <cellStyle name="20% - Accent6" xfId="12" builtinId="50"/>
    <cellStyle name="40% - Accent2" xfId="9" builtinId="35"/>
    <cellStyle name="60% - Accent4" xfId="11" builtinId="44"/>
    <cellStyle name="Bad" xfId="3" builtinId="27"/>
    <cellStyle name="Calculation" xfId="5" builtinId="22"/>
    <cellStyle name="Check Cell" xfId="6" builtinId="23"/>
    <cellStyle name="Heading 2" xfId="1" builtinId="17"/>
    <cellStyle name="Heading 3" xfId="2" builtinId="18"/>
    <cellStyle name="Input" xfId="4" builtinId="20"/>
    <cellStyle name="Normal" xfId="0" builtinId="0"/>
    <cellStyle name="Percent" xfId="13" builtinId="5"/>
  </cellStyles>
  <dxfs count="28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ANN!$V$10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ANN!$U$11:$U$17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ANN!$V$11:$V$17</c:f>
              <c:numCache>
                <c:formatCode>0.0000</c:formatCode>
                <c:ptCount val="7"/>
                <c:pt idx="0">
                  <c:v>0.97997835497835506</c:v>
                </c:pt>
                <c:pt idx="1">
                  <c:v>0.97348484848484862</c:v>
                </c:pt>
                <c:pt idx="2">
                  <c:v>0.92261904761904778</c:v>
                </c:pt>
                <c:pt idx="3">
                  <c:v>0.91883116883116889</c:v>
                </c:pt>
                <c:pt idx="4">
                  <c:v>0.86958874458874458</c:v>
                </c:pt>
                <c:pt idx="5">
                  <c:v>0.80086580086580084</c:v>
                </c:pt>
                <c:pt idx="6">
                  <c:v>0.63744588744588748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C-405B-92E3-1ADF0C71320F}"/>
            </c:ext>
          </c:extLst>
        </c:ser>
        <c:ser>
          <c:idx val="1"/>
          <c:order val="1"/>
          <c:tx>
            <c:strRef>
              <c:f>ANN!$W$10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ANN!$U$11:$U$17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ANN!$W$11:$W$17</c:f>
              <c:numCache>
                <c:formatCode>0.0000</c:formatCode>
                <c:ptCount val="7"/>
                <c:pt idx="0">
                  <c:v>0.99777032065622662</c:v>
                </c:pt>
                <c:pt idx="1">
                  <c:v>0.98141584278581184</c:v>
                </c:pt>
                <c:pt idx="2">
                  <c:v>0.92636070504710644</c:v>
                </c:pt>
                <c:pt idx="3">
                  <c:v>0.93874213254350247</c:v>
                </c:pt>
                <c:pt idx="4">
                  <c:v>0.8814023403051312</c:v>
                </c:pt>
                <c:pt idx="5">
                  <c:v>0.8413349892098223</c:v>
                </c:pt>
                <c:pt idx="6">
                  <c:v>0.68558473799175201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C-405B-92E3-1ADF0C71320F}"/>
            </c:ext>
          </c:extLst>
        </c:ser>
        <c:ser>
          <c:idx val="2"/>
          <c:order val="2"/>
          <c:tx>
            <c:strRef>
              <c:f>ANN!$X$10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ANN!$U$11:$U$17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ANN!$X$11:$X$17</c:f>
              <c:numCache>
                <c:formatCode>0.0000</c:formatCode>
                <c:ptCount val="7"/>
                <c:pt idx="0">
                  <c:v>0.96212121212121227</c:v>
                </c:pt>
                <c:pt idx="1">
                  <c:v>0.96536796536796532</c:v>
                </c:pt>
                <c:pt idx="2">
                  <c:v>0.91991341991341991</c:v>
                </c:pt>
                <c:pt idx="3">
                  <c:v>0.89610389610389607</c:v>
                </c:pt>
                <c:pt idx="4">
                  <c:v>0.85714285714285721</c:v>
                </c:pt>
                <c:pt idx="5">
                  <c:v>0.74350649350649345</c:v>
                </c:pt>
                <c:pt idx="6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C-405B-92E3-1ADF0C71320F}"/>
            </c:ext>
          </c:extLst>
        </c:ser>
        <c:ser>
          <c:idx val="3"/>
          <c:order val="3"/>
          <c:tx>
            <c:strRef>
              <c:f>ANN!$Y$10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ANN!$U$11:$U$17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ANN!$Y$11:$Y$17</c:f>
              <c:numCache>
                <c:formatCode>0.0000</c:formatCode>
                <c:ptCount val="7"/>
                <c:pt idx="0">
                  <c:v>0.97960765323778398</c:v>
                </c:pt>
                <c:pt idx="1">
                  <c:v>0.97326553617501832</c:v>
                </c:pt>
                <c:pt idx="2">
                  <c:v>0.92249263761417855</c:v>
                </c:pt>
                <c:pt idx="3">
                  <c:v>0.91686044655915822</c:v>
                </c:pt>
                <c:pt idx="4">
                  <c:v>0.86788634160601985</c:v>
                </c:pt>
                <c:pt idx="5">
                  <c:v>0.78850927597466158</c:v>
                </c:pt>
                <c:pt idx="6">
                  <c:v>0.58735782803497261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C-405B-92E3-1ADF0C71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44447"/>
        <c:axId val="198646527"/>
      </c:barChart>
      <c:catAx>
        <c:axId val="1986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527"/>
        <c:crosses val="autoZero"/>
        <c:auto val="1"/>
        <c:lblAlgn val="ctr"/>
        <c:lblOffset val="100"/>
        <c:noMultiLvlLbl val="0"/>
      </c:catAx>
      <c:valAx>
        <c:axId val="19864652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Sheet1!$D$22:$D$28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Sheet1!$E$22:$E$28</c:f>
              <c:numCache>
                <c:formatCode>General</c:formatCode>
                <c:ptCount val="7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8.9999999999999998E-4</c:v>
                </c:pt>
                <c:pt idx="4">
                  <c:v>6.9999999999999999E-4</c:v>
                </c:pt>
                <c:pt idx="5">
                  <c:v>5.9999999999999995E-4</c:v>
                </c:pt>
                <c:pt idx="6">
                  <c:v>-1.4E-3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F-47CD-B0A9-66AF59084B6E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Sheet1!$D$22:$D$28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Sheet1!$F$22:$F$28</c:f>
              <c:numCache>
                <c:formatCode>General</c:formatCode>
                <c:ptCount val="7"/>
                <c:pt idx="0">
                  <c:v>5.3800000000000001E-2</c:v>
                </c:pt>
                <c:pt idx="1">
                  <c:v>6.7500000000000004E-2</c:v>
                </c:pt>
                <c:pt idx="2">
                  <c:v>7.1999999999999995E-2</c:v>
                </c:pt>
                <c:pt idx="3">
                  <c:v>7.0499999999999993E-2</c:v>
                </c:pt>
                <c:pt idx="4">
                  <c:v>5.9700000000000003E-2</c:v>
                </c:pt>
                <c:pt idx="5">
                  <c:v>7.4099999999999999E-2</c:v>
                </c:pt>
                <c:pt idx="6">
                  <c:v>3.6900000000000002E-2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F-47CD-B0A9-66AF5908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225552"/>
        <c:axId val="1329226384"/>
      </c:barChart>
      <c:catAx>
        <c:axId val="13292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26384"/>
        <c:crosses val="autoZero"/>
        <c:auto val="1"/>
        <c:lblAlgn val="ctr"/>
        <c:lblOffset val="100"/>
        <c:noMultiLvlLbl val="0"/>
      </c:catAx>
      <c:valAx>
        <c:axId val="13292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Sheet1!$Q$37</c:f>
              <c:strCache>
                <c:ptCount val="1"/>
                <c:pt idx="0">
                  <c:v>average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Sheet1!$P$38:$P$44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Sheet1!$Q$38:$Q$44</c:f>
              <c:numCache>
                <c:formatCode>General</c:formatCode>
                <c:ptCount val="7"/>
                <c:pt idx="0">
                  <c:v>3.9779999999999996E-2</c:v>
                </c:pt>
                <c:pt idx="1">
                  <c:v>3.9645454545454546E-2</c:v>
                </c:pt>
                <c:pt idx="2">
                  <c:v>4.0610909090909093E-2</c:v>
                </c:pt>
                <c:pt idx="3">
                  <c:v>4.455636363636363E-2</c:v>
                </c:pt>
                <c:pt idx="4">
                  <c:v>4.6934545454545451E-2</c:v>
                </c:pt>
                <c:pt idx="5">
                  <c:v>5.1249090909090918E-2</c:v>
                </c:pt>
                <c:pt idx="6">
                  <c:v>0.43884363636363638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6-4F1E-81DA-357D4C2A8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173552"/>
        <c:axId val="1329167728"/>
      </c:barChart>
      <c:catAx>
        <c:axId val="13291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67728"/>
        <c:crosses val="autoZero"/>
        <c:auto val="1"/>
        <c:lblAlgn val="ctr"/>
        <c:lblOffset val="100"/>
        <c:noMultiLvlLbl val="0"/>
      </c:catAx>
      <c:valAx>
        <c:axId val="13291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ANN!$AE$10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ANN!$AD$11:$AD$13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ANN!$AE$11:$AE$13</c:f>
              <c:numCache>
                <c:formatCode>0.0000</c:formatCode>
                <c:ptCount val="3"/>
                <c:pt idx="0">
                  <c:v>0.97997835497835506</c:v>
                </c:pt>
                <c:pt idx="1">
                  <c:v>0.97348484848484862</c:v>
                </c:pt>
                <c:pt idx="2">
                  <c:v>0.92261904761904778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3-48CA-BC7C-6311BED18517}"/>
            </c:ext>
          </c:extLst>
        </c:ser>
        <c:ser>
          <c:idx val="1"/>
          <c:order val="1"/>
          <c:tx>
            <c:strRef>
              <c:f>ANN!$AF$10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ANN!$AD$11:$AD$13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ANN!$AF$11:$AF$13</c:f>
              <c:numCache>
                <c:formatCode>0.0000</c:formatCode>
                <c:ptCount val="3"/>
                <c:pt idx="0">
                  <c:v>0.99777032065622662</c:v>
                </c:pt>
                <c:pt idx="1">
                  <c:v>0.98141584278581184</c:v>
                </c:pt>
                <c:pt idx="2">
                  <c:v>0.92636070504710644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3-48CA-BC7C-6311BED18517}"/>
            </c:ext>
          </c:extLst>
        </c:ser>
        <c:ser>
          <c:idx val="2"/>
          <c:order val="2"/>
          <c:tx>
            <c:strRef>
              <c:f>ANN!$AG$10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ANN!$AD$11:$AD$13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ANN!$AG$11:$AG$13</c:f>
              <c:numCache>
                <c:formatCode>0.0000</c:formatCode>
                <c:ptCount val="3"/>
                <c:pt idx="0">
                  <c:v>0.96212121212121227</c:v>
                </c:pt>
                <c:pt idx="1">
                  <c:v>0.96536796536796532</c:v>
                </c:pt>
                <c:pt idx="2">
                  <c:v>0.91991341991341991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3-48CA-BC7C-6311BED18517}"/>
            </c:ext>
          </c:extLst>
        </c:ser>
        <c:ser>
          <c:idx val="3"/>
          <c:order val="3"/>
          <c:tx>
            <c:strRef>
              <c:f>ANN!$AH$10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ANN!$AD$11:$AD$13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ANN!$AH$11:$AH$13</c:f>
              <c:numCache>
                <c:formatCode>0.0000</c:formatCode>
                <c:ptCount val="3"/>
                <c:pt idx="0">
                  <c:v>0.97960765323778398</c:v>
                </c:pt>
                <c:pt idx="1">
                  <c:v>0.97326553617501832</c:v>
                </c:pt>
                <c:pt idx="2">
                  <c:v>0.92249263761417855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3-48CA-BC7C-6311BED1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80847"/>
        <c:axId val="340088335"/>
      </c:barChart>
      <c:catAx>
        <c:axId val="3400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8335"/>
        <c:crosses val="autoZero"/>
        <c:auto val="1"/>
        <c:lblAlgn val="ctr"/>
        <c:lblOffset val="100"/>
        <c:noMultiLvlLbl val="0"/>
      </c:catAx>
      <c:valAx>
        <c:axId val="340088335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ANN!$AE$15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ANN!$AD$16:$AD$18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ANN!$AE$16:$AE$18</c:f>
              <c:numCache>
                <c:formatCode>0.0000</c:formatCode>
                <c:ptCount val="3"/>
                <c:pt idx="0">
                  <c:v>0.97348484848484862</c:v>
                </c:pt>
                <c:pt idx="1">
                  <c:v>0.918831168831169</c:v>
                </c:pt>
                <c:pt idx="2">
                  <c:v>0.86958874458874458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A-4F1C-B1B2-14CC9B5EA64C}"/>
            </c:ext>
          </c:extLst>
        </c:ser>
        <c:ser>
          <c:idx val="1"/>
          <c:order val="1"/>
          <c:tx>
            <c:strRef>
              <c:f>ANN!$AF$15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ANN!$AD$16:$AD$18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ANN!$AF$16:$AF$18</c:f>
              <c:numCache>
                <c:formatCode>0.0000</c:formatCode>
                <c:ptCount val="3"/>
                <c:pt idx="0">
                  <c:v>0.98141584278581184</c:v>
                </c:pt>
                <c:pt idx="1">
                  <c:v>0.93874213254350247</c:v>
                </c:pt>
                <c:pt idx="2">
                  <c:v>0.8814023403051312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A-4F1C-B1B2-14CC9B5EA64C}"/>
            </c:ext>
          </c:extLst>
        </c:ser>
        <c:ser>
          <c:idx val="2"/>
          <c:order val="2"/>
          <c:tx>
            <c:strRef>
              <c:f>ANN!$AG$15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ANN!$AD$16:$AD$18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ANN!$AG$16:$AG$18</c:f>
              <c:numCache>
                <c:formatCode>0.0000</c:formatCode>
                <c:ptCount val="3"/>
                <c:pt idx="0">
                  <c:v>0.96536796536796532</c:v>
                </c:pt>
                <c:pt idx="1">
                  <c:v>0.89610389610389607</c:v>
                </c:pt>
                <c:pt idx="2">
                  <c:v>0.85714285714285721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A-4F1C-B1B2-14CC9B5EA64C}"/>
            </c:ext>
          </c:extLst>
        </c:ser>
        <c:ser>
          <c:idx val="3"/>
          <c:order val="3"/>
          <c:tx>
            <c:strRef>
              <c:f>ANN!$AH$15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ANN!$AD$16:$AD$18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ANN!$AH$16:$AH$18</c:f>
              <c:numCache>
                <c:formatCode>0.0000</c:formatCode>
                <c:ptCount val="3"/>
                <c:pt idx="0">
                  <c:v>0.97326553617501832</c:v>
                </c:pt>
                <c:pt idx="1">
                  <c:v>0.91686044655915822</c:v>
                </c:pt>
                <c:pt idx="2">
                  <c:v>0.86788634160601985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A-4F1C-B1B2-14CC9B5E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74847"/>
        <c:axId val="1716072351"/>
      </c:barChart>
      <c:catAx>
        <c:axId val="17160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2351"/>
        <c:crosses val="autoZero"/>
        <c:auto val="1"/>
        <c:lblAlgn val="ctr"/>
        <c:lblOffset val="100"/>
        <c:noMultiLvlLbl val="0"/>
      </c:catAx>
      <c:valAx>
        <c:axId val="171607235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ANN!$AE$20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ANN!$AD$21:$AD$23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ANN!$AE$21:$AE$23</c:f>
              <c:numCache>
                <c:formatCode>0.0000</c:formatCode>
                <c:ptCount val="3"/>
                <c:pt idx="0">
                  <c:v>0.92261904761904778</c:v>
                </c:pt>
                <c:pt idx="1">
                  <c:v>0.80086580086580084</c:v>
                </c:pt>
                <c:pt idx="2">
                  <c:v>0.63744588744588748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CFE-9048-67C3347A5A83}"/>
            </c:ext>
          </c:extLst>
        </c:ser>
        <c:ser>
          <c:idx val="1"/>
          <c:order val="1"/>
          <c:tx>
            <c:strRef>
              <c:f>ANN!$AF$20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ANN!$AD$21:$AD$23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ANN!$AF$21:$AF$23</c:f>
              <c:numCache>
                <c:formatCode>0.0000</c:formatCode>
                <c:ptCount val="3"/>
                <c:pt idx="0">
                  <c:v>0.92636070504710644</c:v>
                </c:pt>
                <c:pt idx="1">
                  <c:v>0.8413349892098223</c:v>
                </c:pt>
                <c:pt idx="2">
                  <c:v>0.68558473799175201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CFE-9048-67C3347A5A83}"/>
            </c:ext>
          </c:extLst>
        </c:ser>
        <c:ser>
          <c:idx val="2"/>
          <c:order val="2"/>
          <c:tx>
            <c:strRef>
              <c:f>ANN!$AG$20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ANN!$AD$21:$AD$23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ANN!$AG$21:$AG$23</c:f>
              <c:numCache>
                <c:formatCode>0.0000</c:formatCode>
                <c:ptCount val="3"/>
                <c:pt idx="0">
                  <c:v>0.91991341991341991</c:v>
                </c:pt>
                <c:pt idx="1">
                  <c:v>0.74350649350649345</c:v>
                </c:pt>
                <c:pt idx="2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CFE-9048-67C3347A5A83}"/>
            </c:ext>
          </c:extLst>
        </c:ser>
        <c:ser>
          <c:idx val="3"/>
          <c:order val="3"/>
          <c:tx>
            <c:strRef>
              <c:f>ANN!$AH$20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ANN!$AD$21:$AD$23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ANN!$AH$21:$AH$23</c:f>
              <c:numCache>
                <c:formatCode>0.0000</c:formatCode>
                <c:ptCount val="3"/>
                <c:pt idx="0">
                  <c:v>0.92249263761417855</c:v>
                </c:pt>
                <c:pt idx="1">
                  <c:v>0.78850927597466158</c:v>
                </c:pt>
                <c:pt idx="2">
                  <c:v>0.58735782803497261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CFE-9048-67C3347A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29855"/>
        <c:axId val="1715826111"/>
      </c:barChart>
      <c:catAx>
        <c:axId val="17158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26111"/>
        <c:crosses val="autoZero"/>
        <c:auto val="1"/>
        <c:lblAlgn val="ctr"/>
        <c:lblOffset val="100"/>
        <c:noMultiLvlLbl val="0"/>
      </c:catAx>
      <c:valAx>
        <c:axId val="171582611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SVM!$R$10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SVM!$Q$11:$Q$17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SVM!$R$11:$R$17</c:f>
              <c:numCache>
                <c:formatCode>0.0000</c:formatCode>
                <c:ptCount val="7"/>
                <c:pt idx="0">
                  <c:v>0.97077922077922085</c:v>
                </c:pt>
                <c:pt idx="1">
                  <c:v>0.96536796536796532</c:v>
                </c:pt>
                <c:pt idx="2">
                  <c:v>0.92748917748917747</c:v>
                </c:pt>
                <c:pt idx="3">
                  <c:v>0.91558441558441572</c:v>
                </c:pt>
                <c:pt idx="4">
                  <c:v>0.83116883116883133</c:v>
                </c:pt>
                <c:pt idx="5">
                  <c:v>0.7548701298701298</c:v>
                </c:pt>
                <c:pt idx="6">
                  <c:v>0.59848484848484851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601-BC8B-61EE2824C0EB}"/>
            </c:ext>
          </c:extLst>
        </c:ser>
        <c:ser>
          <c:idx val="1"/>
          <c:order val="1"/>
          <c:tx>
            <c:strRef>
              <c:f>SVM!$S$10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SVM!$Q$11:$Q$17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SVM!$S$11:$S$17</c:f>
              <c:numCache>
                <c:formatCode>0.0000</c:formatCode>
                <c:ptCount val="7"/>
                <c:pt idx="0">
                  <c:v>0.99885844748858454</c:v>
                </c:pt>
                <c:pt idx="1">
                  <c:v>0.99426009684630368</c:v>
                </c:pt>
                <c:pt idx="2">
                  <c:v>0.9818722376659007</c:v>
                </c:pt>
                <c:pt idx="3">
                  <c:v>0.97720457162101981</c:v>
                </c:pt>
                <c:pt idx="4">
                  <c:v>0.93398899479029363</c:v>
                </c:pt>
                <c:pt idx="5">
                  <c:v>0.87923516190174811</c:v>
                </c:pt>
                <c:pt idx="6">
                  <c:v>0.67244861619861629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4601-BC8B-61EE2824C0EB}"/>
            </c:ext>
          </c:extLst>
        </c:ser>
        <c:ser>
          <c:idx val="2"/>
          <c:order val="2"/>
          <c:tx>
            <c:strRef>
              <c:f>SVM!$T$10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SVM!$Q$11:$Q$17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SVM!$T$11:$T$17</c:f>
              <c:numCache>
                <c:formatCode>0.0000</c:formatCode>
                <c:ptCount val="7"/>
                <c:pt idx="0">
                  <c:v>0.94264069264069272</c:v>
                </c:pt>
                <c:pt idx="1">
                  <c:v>0.93614718614718617</c:v>
                </c:pt>
                <c:pt idx="2">
                  <c:v>0.8712121212121211</c:v>
                </c:pt>
                <c:pt idx="3">
                  <c:v>0.85173160173160178</c:v>
                </c:pt>
                <c:pt idx="4">
                  <c:v>0.71320346320346317</c:v>
                </c:pt>
                <c:pt idx="5">
                  <c:v>0.59090909090909094</c:v>
                </c:pt>
                <c:pt idx="6">
                  <c:v>0.38419913419913421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4601-BC8B-61EE2824C0EB}"/>
            </c:ext>
          </c:extLst>
        </c:ser>
        <c:ser>
          <c:idx val="3"/>
          <c:order val="3"/>
          <c:tx>
            <c:strRef>
              <c:f>SVM!$U$10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SVM!$Q$11:$Q$17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SVM!$U$11:$U$17</c:f>
              <c:numCache>
                <c:formatCode>0.0000</c:formatCode>
                <c:ptCount val="7"/>
                <c:pt idx="0">
                  <c:v>0.96989120313970256</c:v>
                </c:pt>
                <c:pt idx="1">
                  <c:v>0.96430232500788937</c:v>
                </c:pt>
                <c:pt idx="2">
                  <c:v>0.9230273410597386</c:v>
                </c:pt>
                <c:pt idx="3">
                  <c:v>0.9097308502016509</c:v>
                </c:pt>
                <c:pt idx="4">
                  <c:v>0.8078362301085994</c:v>
                </c:pt>
                <c:pt idx="5">
                  <c:v>0.70535634453150464</c:v>
                </c:pt>
                <c:pt idx="6">
                  <c:v>0.48808580053407641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4601-BC8B-61EE2824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2544"/>
        <c:axId val="80450848"/>
      </c:barChart>
      <c:catAx>
        <c:axId val="804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848"/>
        <c:crosses val="autoZero"/>
        <c:auto val="1"/>
        <c:lblAlgn val="ctr"/>
        <c:lblOffset val="100"/>
        <c:noMultiLvlLbl val="0"/>
      </c:catAx>
      <c:valAx>
        <c:axId val="8045084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SVM!$X$10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SVM!$W$11:$W$13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SVM!$X$11:$X$13</c:f>
              <c:numCache>
                <c:formatCode>0.0000</c:formatCode>
                <c:ptCount val="3"/>
                <c:pt idx="0">
                  <c:v>0.97077922077922085</c:v>
                </c:pt>
                <c:pt idx="1">
                  <c:v>0.96536796536796532</c:v>
                </c:pt>
                <c:pt idx="2">
                  <c:v>0.92748917748917747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0-4631-A880-9D76A0621423}"/>
            </c:ext>
          </c:extLst>
        </c:ser>
        <c:ser>
          <c:idx val="1"/>
          <c:order val="1"/>
          <c:tx>
            <c:strRef>
              <c:f>SVM!$Y$10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SVM!$W$11:$W$13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SVM!$Y$11:$Y$13</c:f>
              <c:numCache>
                <c:formatCode>0.0000</c:formatCode>
                <c:ptCount val="3"/>
                <c:pt idx="0">
                  <c:v>0.99885844748858454</c:v>
                </c:pt>
                <c:pt idx="1">
                  <c:v>0.99426009684630368</c:v>
                </c:pt>
                <c:pt idx="2">
                  <c:v>0.9818722376659007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0-4631-A880-9D76A0621423}"/>
            </c:ext>
          </c:extLst>
        </c:ser>
        <c:ser>
          <c:idx val="2"/>
          <c:order val="2"/>
          <c:tx>
            <c:strRef>
              <c:f>SVM!$Z$10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SVM!$W$11:$W$13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SVM!$Z$11:$Z$13</c:f>
              <c:numCache>
                <c:formatCode>0.0000</c:formatCode>
                <c:ptCount val="3"/>
                <c:pt idx="0">
                  <c:v>0.94264069264069272</c:v>
                </c:pt>
                <c:pt idx="1">
                  <c:v>0.93614718614718617</c:v>
                </c:pt>
                <c:pt idx="2">
                  <c:v>0.8712121212121211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0-4631-A880-9D76A0621423}"/>
            </c:ext>
          </c:extLst>
        </c:ser>
        <c:ser>
          <c:idx val="3"/>
          <c:order val="3"/>
          <c:tx>
            <c:strRef>
              <c:f>SVM!$AA$10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SVM!$W$11:$W$13</c:f>
              <c:strCache>
                <c:ptCount val="3"/>
                <c:pt idx="0">
                  <c:v>D1 (0% PV)</c:v>
                </c:pt>
                <c:pt idx="1">
                  <c:v>D2 (20% PV)</c:v>
                </c:pt>
                <c:pt idx="2">
                  <c:v>D3 (70% PV)</c:v>
                </c:pt>
              </c:strCache>
            </c:strRef>
          </c:cat>
          <c:val>
            <c:numRef>
              <c:f>SVM!$AA$11:$AA$13</c:f>
              <c:numCache>
                <c:formatCode>0.0000</c:formatCode>
                <c:ptCount val="3"/>
                <c:pt idx="0">
                  <c:v>0.96989120313970256</c:v>
                </c:pt>
                <c:pt idx="1">
                  <c:v>0.96430232500788937</c:v>
                </c:pt>
                <c:pt idx="2">
                  <c:v>0.9230273410597386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0-4631-A880-9D76A062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781456"/>
        <c:axId val="1939455776"/>
      </c:barChart>
      <c:catAx>
        <c:axId val="19347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55776"/>
        <c:crosses val="autoZero"/>
        <c:auto val="1"/>
        <c:lblAlgn val="ctr"/>
        <c:lblOffset val="100"/>
        <c:noMultiLvlLbl val="0"/>
      </c:catAx>
      <c:valAx>
        <c:axId val="193945577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SVM!$X$15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SVM!$W$16:$W$18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SVM!$X$16:$X$18</c:f>
              <c:numCache>
                <c:formatCode>0.0000</c:formatCode>
                <c:ptCount val="3"/>
                <c:pt idx="0">
                  <c:v>0.96536796536796532</c:v>
                </c:pt>
                <c:pt idx="1">
                  <c:v>0.91558441558441572</c:v>
                </c:pt>
                <c:pt idx="2">
                  <c:v>0.83116883116883133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46FE-8108-8591C4ABB073}"/>
            </c:ext>
          </c:extLst>
        </c:ser>
        <c:ser>
          <c:idx val="1"/>
          <c:order val="1"/>
          <c:tx>
            <c:strRef>
              <c:f>SVM!$Y$15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SVM!$W$16:$W$18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SVM!$Y$16:$Y$18</c:f>
              <c:numCache>
                <c:formatCode>0.0000</c:formatCode>
                <c:ptCount val="3"/>
                <c:pt idx="0">
                  <c:v>0.99426009684630368</c:v>
                </c:pt>
                <c:pt idx="1">
                  <c:v>0.97720457162101981</c:v>
                </c:pt>
                <c:pt idx="2">
                  <c:v>0.93398899479029363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A-46FE-8108-8591C4ABB073}"/>
            </c:ext>
          </c:extLst>
        </c:ser>
        <c:ser>
          <c:idx val="2"/>
          <c:order val="2"/>
          <c:tx>
            <c:strRef>
              <c:f>SVM!$Z$15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SVM!$W$16:$W$18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SVM!$Z$16:$Z$18</c:f>
              <c:numCache>
                <c:formatCode>0.0000</c:formatCode>
                <c:ptCount val="3"/>
                <c:pt idx="0">
                  <c:v>0.93614718614718617</c:v>
                </c:pt>
                <c:pt idx="1">
                  <c:v>0.85173160173160178</c:v>
                </c:pt>
                <c:pt idx="2">
                  <c:v>0.71320346320346317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A-46FE-8108-8591C4ABB073}"/>
            </c:ext>
          </c:extLst>
        </c:ser>
        <c:ser>
          <c:idx val="3"/>
          <c:order val="3"/>
          <c:tx>
            <c:strRef>
              <c:f>SVM!$AA$15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SVM!$W$16:$W$18</c:f>
              <c:strCache>
                <c:ptCount val="3"/>
                <c:pt idx="0">
                  <c:v>D2 (20% PV, 0% NM)</c:v>
                </c:pt>
                <c:pt idx="1">
                  <c:v>D4 (20% PV, 20% NM)</c:v>
                </c:pt>
                <c:pt idx="2">
                  <c:v>D5 (20% PV, 70% NM)</c:v>
                </c:pt>
              </c:strCache>
            </c:strRef>
          </c:cat>
          <c:val>
            <c:numRef>
              <c:f>SVM!$AA$16:$AA$18</c:f>
              <c:numCache>
                <c:formatCode>0.0000</c:formatCode>
                <c:ptCount val="3"/>
                <c:pt idx="0">
                  <c:v>0.96430232500788937</c:v>
                </c:pt>
                <c:pt idx="1">
                  <c:v>0.9097308502016509</c:v>
                </c:pt>
                <c:pt idx="2">
                  <c:v>0.8078362301085994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A-46FE-8108-8591C4AB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56608"/>
        <c:axId val="1935057024"/>
      </c:barChart>
      <c:catAx>
        <c:axId val="19350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57024"/>
        <c:crosses val="autoZero"/>
        <c:auto val="1"/>
        <c:lblAlgn val="ctr"/>
        <c:lblOffset val="100"/>
        <c:noMultiLvlLbl val="0"/>
      </c:catAx>
      <c:valAx>
        <c:axId val="193505702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SVM!$X$20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SVM!$W$21:$W$23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SVM!$X$21:$X$23</c:f>
              <c:numCache>
                <c:formatCode>0.0000</c:formatCode>
                <c:ptCount val="3"/>
                <c:pt idx="0">
                  <c:v>0.92748917748917747</c:v>
                </c:pt>
                <c:pt idx="1">
                  <c:v>0.7548701298701298</c:v>
                </c:pt>
                <c:pt idx="2">
                  <c:v>0.59848484848484851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2CA-97CE-C462E64A80BA}"/>
            </c:ext>
          </c:extLst>
        </c:ser>
        <c:ser>
          <c:idx val="1"/>
          <c:order val="1"/>
          <c:tx>
            <c:strRef>
              <c:f>SVM!$Y$20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SVM!$W$21:$W$23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SVM!$Y$21:$Y$23</c:f>
              <c:numCache>
                <c:formatCode>0.0000</c:formatCode>
                <c:ptCount val="3"/>
                <c:pt idx="0">
                  <c:v>0.9818722376659007</c:v>
                </c:pt>
                <c:pt idx="1">
                  <c:v>0.87923516190174811</c:v>
                </c:pt>
                <c:pt idx="2">
                  <c:v>0.67244861619861629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8-42CA-97CE-C462E64A80BA}"/>
            </c:ext>
          </c:extLst>
        </c:ser>
        <c:ser>
          <c:idx val="2"/>
          <c:order val="2"/>
          <c:tx>
            <c:strRef>
              <c:f>SVM!$Z$20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SVM!$W$21:$W$23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SVM!$Z$21:$Z$23</c:f>
              <c:numCache>
                <c:formatCode>0.0000</c:formatCode>
                <c:ptCount val="3"/>
                <c:pt idx="0">
                  <c:v>0.8712121212121211</c:v>
                </c:pt>
                <c:pt idx="1">
                  <c:v>0.59090909090909094</c:v>
                </c:pt>
                <c:pt idx="2">
                  <c:v>0.38419913419913421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8-42CA-97CE-C462E64A80BA}"/>
            </c:ext>
          </c:extLst>
        </c:ser>
        <c:ser>
          <c:idx val="3"/>
          <c:order val="3"/>
          <c:tx>
            <c:strRef>
              <c:f>SVM!$AA$20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SVM!$W$21:$W$23</c:f>
              <c:strCache>
                <c:ptCount val="3"/>
                <c:pt idx="0">
                  <c:v>D3 (70% PV, 0% NM)</c:v>
                </c:pt>
                <c:pt idx="1">
                  <c:v>D6 (70% PV, 20% NM)</c:v>
                </c:pt>
                <c:pt idx="2">
                  <c:v>D7 (70% PV, 70% NM)</c:v>
                </c:pt>
              </c:strCache>
            </c:strRef>
          </c:cat>
          <c:val>
            <c:numRef>
              <c:f>SVM!$AA$21:$AA$23</c:f>
              <c:numCache>
                <c:formatCode>0.0000</c:formatCode>
                <c:ptCount val="3"/>
                <c:pt idx="0">
                  <c:v>0.9230273410597386</c:v>
                </c:pt>
                <c:pt idx="1">
                  <c:v>0.70535634453150464</c:v>
                </c:pt>
                <c:pt idx="2">
                  <c:v>0.48808580053407641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8-42CA-97CE-C462E64A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682240"/>
        <c:axId val="1628679744"/>
      </c:barChart>
      <c:catAx>
        <c:axId val="16286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79744"/>
        <c:crosses val="autoZero"/>
        <c:auto val="1"/>
        <c:lblAlgn val="ctr"/>
        <c:lblOffset val="100"/>
        <c:noMultiLvlLbl val="0"/>
      </c:catAx>
      <c:valAx>
        <c:axId val="162867974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9.4500000000000001E-2</c:v>
                </c:pt>
                <c:pt idx="1">
                  <c:v>9.0800000000000006E-2</c:v>
                </c:pt>
                <c:pt idx="2">
                  <c:v>8.4900000000000003E-2</c:v>
                </c:pt>
                <c:pt idx="3">
                  <c:v>8.6800000000000002E-2</c:v>
                </c:pt>
                <c:pt idx="4">
                  <c:v>0.106</c:v>
                </c:pt>
                <c:pt idx="5">
                  <c:v>8.2299999999999998E-2</c:v>
                </c:pt>
                <c:pt idx="6">
                  <c:v>7.0499999999999993E-2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B-43DD-B5FB-94827F385AB5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</c:strCache>
            </c:strRef>
          </c:cat>
          <c:val>
            <c:numRef>
              <c:f>Sheet1!$F$6:$F$12</c:f>
              <c:numCache>
                <c:formatCode>General</c:formatCode>
                <c:ptCount val="7"/>
                <c:pt idx="0">
                  <c:v>0.17050000000000001</c:v>
                </c:pt>
                <c:pt idx="1">
                  <c:v>0.1439</c:v>
                </c:pt>
                <c:pt idx="2">
                  <c:v>0.15179999999999999</c:v>
                </c:pt>
                <c:pt idx="3">
                  <c:v>0.14399999999999999</c:v>
                </c:pt>
                <c:pt idx="4">
                  <c:v>0.19059999999999999</c:v>
                </c:pt>
                <c:pt idx="5">
                  <c:v>0.1825</c:v>
                </c:pt>
                <c:pt idx="6">
                  <c:v>0.15340000000000001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B-43DD-B5FB-94827F38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28768"/>
        <c:axId val="1323630848"/>
      </c:barChart>
      <c:catAx>
        <c:axId val="13236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30848"/>
        <c:crosses val="autoZero"/>
        <c:auto val="1"/>
        <c:lblAlgn val="ctr"/>
        <c:lblOffset val="100"/>
        <c:noMultiLvlLbl val="0"/>
      </c:catAx>
      <c:valAx>
        <c:axId val="1323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18</xdr:row>
      <xdr:rowOff>0</xdr:rowOff>
    </xdr:from>
    <xdr:to>
      <xdr:col>26</xdr:col>
      <xdr:colOff>406399</xdr:colOff>
      <xdr:row>32</xdr:row>
      <xdr:rowOff>135467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89E216-5D0B-4EDE-9D00-0CE999FC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279400</xdr:colOff>
      <xdr:row>48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6F3F5-575B-4400-9E3A-7DC2E5E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609599</xdr:colOff>
      <xdr:row>34</xdr:row>
      <xdr:rowOff>0</xdr:rowOff>
    </xdr:from>
    <xdr:to>
      <xdr:col>34</xdr:col>
      <xdr:colOff>304799</xdr:colOff>
      <xdr:row>48</xdr:row>
      <xdr:rowOff>135466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A5231-BC54-4CF9-9DC9-F26EEFFB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609599</xdr:colOff>
      <xdr:row>50</xdr:row>
      <xdr:rowOff>1</xdr:rowOff>
    </xdr:from>
    <xdr:to>
      <xdr:col>26</xdr:col>
      <xdr:colOff>279399</xdr:colOff>
      <xdr:row>64</xdr:row>
      <xdr:rowOff>135468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8279B3-EEDB-4934-8D28-7DC8D653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25</xdr:row>
      <xdr:rowOff>1209</xdr:rowOff>
    </xdr:from>
    <xdr:to>
      <xdr:col>22</xdr:col>
      <xdr:colOff>381000</xdr:colOff>
      <xdr:row>39</xdr:row>
      <xdr:rowOff>135467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609AF-4FB4-4663-9145-65B14196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1415141</xdr:colOff>
      <xdr:row>25</xdr:row>
      <xdr:rowOff>1208</xdr:rowOff>
    </xdr:from>
    <xdr:to>
      <xdr:col>29</xdr:col>
      <xdr:colOff>576941</xdr:colOff>
      <xdr:row>39</xdr:row>
      <xdr:rowOff>135465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8F34F8-39D2-4808-AB12-C0CE28AA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466875</xdr:colOff>
      <xdr:row>41</xdr:row>
      <xdr:rowOff>3</xdr:rowOff>
    </xdr:from>
    <xdr:to>
      <xdr:col>22</xdr:col>
      <xdr:colOff>379789</xdr:colOff>
      <xdr:row>55</xdr:row>
      <xdr:rowOff>135469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049008-C403-4165-8D02-B4D19668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-1</xdr:colOff>
      <xdr:row>41</xdr:row>
      <xdr:rowOff>1207</xdr:rowOff>
    </xdr:from>
    <xdr:to>
      <xdr:col>29</xdr:col>
      <xdr:colOff>576942</xdr:colOff>
      <xdr:row>55</xdr:row>
      <xdr:rowOff>135464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4E6E2-3A1C-40C3-9148-76AE7BC0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148590</xdr:rowOff>
    </xdr:from>
    <xdr:to>
      <xdr:col>16</xdr:col>
      <xdr:colOff>289560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3158A-ADB1-42E3-8393-632AD8B0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49530</xdr:rowOff>
    </xdr:from>
    <xdr:to>
      <xdr:col>16</xdr:col>
      <xdr:colOff>304800</xdr:colOff>
      <xdr:row>33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E8974-A535-4339-8BEE-2A894FFB1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44</xdr:row>
      <xdr:rowOff>148590</xdr:rowOff>
    </xdr:from>
    <xdr:to>
      <xdr:col>20</xdr:col>
      <xdr:colOff>106680</xdr:colOff>
      <xdr:row>59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4F039E-7401-442C-811A-58015BE36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447D3-E929-43A1-94E5-051F049691E6}" name="Table25" displayName="Table25" ref="A2:S8" headerRowCount="0" totalsRowShown="0" headerRowDxfId="21" tableBorderDxfId="20" totalsRowBorderDxfId="19">
  <tableColumns count="19">
    <tableColumn id="1" xr3:uid="{7B8FF25A-A6D5-4363-A644-315A1959245A}" name="Column1" dataDxfId="18"/>
    <tableColumn id="2" xr3:uid="{F2F720F3-01FC-4026-9510-7A02E7761698}" name="Column2" dataDxfId="17"/>
    <tableColumn id="3" xr3:uid="{E0DF8281-ED4F-4078-BA4A-A328464F6E1D}" name="Column3" dataDxfId="16"/>
    <tableColumn id="19" xr3:uid="{135C88C2-58C2-424D-BCEF-75B90081465E}" name="Column19" dataDxfId="15"/>
    <tableColumn id="20" xr3:uid="{77D6D1E7-68BA-458E-AC7F-A27C75632A9E}" name="Column20" dataDxfId="14"/>
    <tableColumn id="4" xr3:uid="{A0373635-71F3-4249-A05E-E2C30A5A9E79}" name="Column4" dataDxfId="13"/>
    <tableColumn id="5" xr3:uid="{F47C72DA-5D0E-4A29-B2C3-A6144E5BA2A6}" name="Column5" dataDxfId="12"/>
    <tableColumn id="6" xr3:uid="{1D5FA566-E820-4AAC-8368-A7E6FB056AC3}" name="Column6" dataDxfId="11"/>
    <tableColumn id="7" xr3:uid="{EF2F3997-B591-424A-895B-FEDC341503FB}" name="Column7" dataDxfId="10"/>
    <tableColumn id="8" xr3:uid="{8897F9F8-862A-4A84-88A3-4D3E03015998}" name="Column8" dataDxfId="9"/>
    <tableColumn id="10" xr3:uid="{A0747527-5519-4530-B9D2-4F47727305F0}" name="Column10" dataDxfId="8"/>
    <tableColumn id="11" xr3:uid="{643E994D-FA06-4385-8F37-867454E363DF}" name="Column11" dataDxfId="7"/>
    <tableColumn id="12" xr3:uid="{2DA97134-7654-44CB-8D12-442C888E672E}" name="Column12" dataDxfId="6"/>
    <tableColumn id="13" xr3:uid="{547FD3C1-E21F-4E87-B938-E9FBED0220E0}" name="Column13" dataDxfId="5"/>
    <tableColumn id="14" xr3:uid="{44683862-4AF1-4E5F-B195-AA7D6354EFF2}" name="Column14" dataDxfId="4"/>
    <tableColumn id="15" xr3:uid="{66E4D4F6-A5C4-4BB8-8389-541EE2FB98AB}" name="Column15" dataDxfId="3"/>
    <tableColumn id="16" xr3:uid="{C5F8E2F8-5D6C-41D5-AC59-1F4BB9A15B44}" name="Column16" dataDxfId="2"/>
    <tableColumn id="17" xr3:uid="{167EEB04-D419-4F64-BB9A-C5888F3C50D9}" name="Column17" dataDxfId="1"/>
    <tableColumn id="18" xr3:uid="{3E9BC0B6-2812-45F1-AEB0-942C0F109C5D}" name="Column18" dataDxfId="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199680-ACC6-421A-96D3-B382B864E1AC}" name="Table256710" displayName="Table256710" ref="A18:O24" headerRowCount="0" totalsRowShown="0" headerRowDxfId="111" tableBorderDxfId="110" totalsRowBorderDxfId="109">
  <tableColumns count="15">
    <tableColumn id="1" xr3:uid="{2414682C-4694-4667-97AB-CBD1BF786582}" name="Column1" dataDxfId="108"/>
    <tableColumn id="2" xr3:uid="{6E051540-846C-46F1-9DBE-D193271A0038}" name="Column2" dataDxfId="107"/>
    <tableColumn id="3" xr3:uid="{FD7F42DC-F4AC-4AC9-856E-A3060AE2DC9F}" name="Column3" dataDxfId="106"/>
    <tableColumn id="19" xr3:uid="{185356B6-E6B1-4730-8945-7DF96CFAD509}" name="Column19" dataDxfId="105"/>
    <tableColumn id="20" xr3:uid="{8BC8D72B-33D0-41CC-8E02-B9B671574F4B}" name="Column20" dataDxfId="104"/>
    <tableColumn id="8" xr3:uid="{192D6A8B-ECEA-4B92-8F26-44B33D09C3C2}" name="Column8" dataDxfId="103"/>
    <tableColumn id="10" xr3:uid="{5EAFC0F0-7581-4600-836D-1E780CD212F8}" name="Column10" dataDxfId="102"/>
    <tableColumn id="11" xr3:uid="{931C28DE-7D01-4679-88D4-8E84FB8A47C8}" name="Column11" dataDxfId="101"/>
    <tableColumn id="12" xr3:uid="{9329B135-5BCC-46FF-A752-90322E66E524}" name="Column12" dataDxfId="100"/>
    <tableColumn id="13" xr3:uid="{99FE86D2-4F99-4A10-8282-ED86C2262FE8}" name="Column13" dataDxfId="99"/>
    <tableColumn id="14" xr3:uid="{0E5781F5-4427-454A-8494-E56EF35E879C}" name="Column14" dataDxfId="98"/>
    <tableColumn id="15" xr3:uid="{02F18AFE-A2C7-41B3-8087-B3BCD6A660D9}" name="Column15" dataDxfId="97"/>
    <tableColumn id="16" xr3:uid="{9FC46E6E-75D2-473C-A3F8-A6042D6CF4B5}" name="Column16" dataDxfId="96"/>
    <tableColumn id="17" xr3:uid="{40E7CC2F-6EC3-423F-9E61-4CC78474E262}" name="Column17" dataDxfId="95"/>
    <tableColumn id="18" xr3:uid="{A2565597-C991-4034-841F-C8F49CC126BE}" name="Column18" dataDxfId="9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412650-FC18-44D9-B231-ACE36B593083}" name="Table25678913" displayName="Table25678913" ref="A34:O40" headerRowCount="0" totalsRowShown="0" headerRowDxfId="93" tableBorderDxfId="92" totalsRowBorderDxfId="91">
  <tableColumns count="15">
    <tableColumn id="1" xr3:uid="{085F8D7A-6565-4490-91A1-EABE07BB7A73}" name="Column1" dataDxfId="90"/>
    <tableColumn id="2" xr3:uid="{29E5AA53-7469-4810-B00A-3D7753BD87F1}" name="Column2" dataDxfId="89"/>
    <tableColumn id="3" xr3:uid="{BE0E010A-9A89-45D1-9D4C-F2F9B46C28ED}" name="Column3" dataDxfId="88"/>
    <tableColumn id="19" xr3:uid="{FF3A69EA-96BA-4726-90D9-59C448F220E6}" name="Column19" dataDxfId="87"/>
    <tableColumn id="20" xr3:uid="{DC6D5A3D-20BC-406C-8940-2C6E465A75CC}" name="Column20" dataDxfId="86"/>
    <tableColumn id="8" xr3:uid="{B71BF854-34C2-41D3-94DC-AA86868C5575}" name="Column8" dataDxfId="85"/>
    <tableColumn id="10" xr3:uid="{A77483F5-8726-4089-A71C-F186320B930A}" name="Column10" dataDxfId="84"/>
    <tableColumn id="11" xr3:uid="{78A1F2E9-292D-48FB-8535-8A4591225B8D}" name="Column11" dataDxfId="83"/>
    <tableColumn id="12" xr3:uid="{B01A8C42-BF7B-48B2-AFB0-FBAD2759E151}" name="Column12" dataDxfId="82"/>
    <tableColumn id="13" xr3:uid="{24D8988D-39F8-4EEB-85F9-082744C55558}" name="Column13" dataDxfId="81"/>
    <tableColumn id="14" xr3:uid="{8FB9F315-EE14-461B-87B6-D1A8AC12B4C6}" name="Column14" dataDxfId="80"/>
    <tableColumn id="15" xr3:uid="{6EEDADFB-AD6E-4357-9D36-D98C9947A3CC}" name="Column15" dataDxfId="79"/>
    <tableColumn id="16" xr3:uid="{C0C8F3B3-0F28-49EE-B857-5E24AD6EDDF9}" name="Column16" dataDxfId="78"/>
    <tableColumn id="17" xr3:uid="{D184033F-3479-457C-98EF-58523374E670}" name="Column17" dataDxfId="77"/>
    <tableColumn id="18" xr3:uid="{1743ED68-A688-4414-BC33-EF61BDC75383}" name="Column18" dataDxfId="7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3CB760-31DF-44DE-BA0E-F956C94C7940}" name="Table2567814" displayName="Table2567814" ref="A26:O32" headerRowCount="0" totalsRowShown="0" headerRowDxfId="75" tableBorderDxfId="74" totalsRowBorderDxfId="73">
  <tableColumns count="15">
    <tableColumn id="1" xr3:uid="{2C467AC7-A726-482F-8D4B-5CC746A18D49}" name="Column1" dataDxfId="72"/>
    <tableColumn id="2" xr3:uid="{4723A284-8622-40DA-9FDA-5BE8563F65B8}" name="Column2" dataDxfId="71"/>
    <tableColumn id="3" xr3:uid="{077C658A-AB84-41D0-BF4E-720830AB32CD}" name="Column3" dataDxfId="70"/>
    <tableColumn id="19" xr3:uid="{E9C96880-E6AC-49A4-AB6E-58AB286FAF7B}" name="Column19" dataDxfId="69"/>
    <tableColumn id="20" xr3:uid="{F0FCC3E9-AE38-4AFC-B9DA-A97E5F074E2E}" name="Column20" dataDxfId="68"/>
    <tableColumn id="8" xr3:uid="{CD46D0A5-3157-423E-97CE-A1590F09793C}" name="Column8" dataDxfId="67"/>
    <tableColumn id="10" xr3:uid="{6FC0F9A4-34CC-414E-98CB-FF6EFBF21A3B}" name="Column10" dataDxfId="66"/>
    <tableColumn id="11" xr3:uid="{D94AFEB9-5DB5-4796-B491-B31C6811B8A0}" name="Column11" dataDxfId="65"/>
    <tableColumn id="12" xr3:uid="{D319EACB-6EC4-4E65-94E2-143083438914}" name="Column12" dataDxfId="64"/>
    <tableColumn id="13" xr3:uid="{70F05416-7171-42C6-B5A6-3834EF9D19FB}" name="Column13" dataDxfId="63"/>
    <tableColumn id="14" xr3:uid="{CC9B439E-1354-4BB1-94E3-529D03D106E4}" name="Column14" dataDxfId="62"/>
    <tableColumn id="15" xr3:uid="{0FC15660-6141-426F-A420-D10C8E8B81C9}" name="Column15" dataDxfId="61"/>
    <tableColumn id="16" xr3:uid="{9B4468DD-267C-4969-A5FE-B7AA5CBF498E}" name="Column16" dataDxfId="60"/>
    <tableColumn id="17" xr3:uid="{27DE8A7E-8742-48C5-B81C-E657A0C4B3FB}" name="Column17" dataDxfId="59"/>
    <tableColumn id="18" xr3:uid="{FEEB7545-8697-416A-8F61-7BB7FEFFBB36}" name="Column18" dataDxfId="5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1C9E95-F435-43F9-83D0-79DF884BCB22}" name="Table2567891115" displayName="Table2567891115" ref="A42:O48" headerRowCount="0" totalsRowShown="0" headerRowDxfId="57" tableBorderDxfId="56" totalsRowBorderDxfId="55">
  <tableColumns count="15">
    <tableColumn id="1" xr3:uid="{4E99BCD9-A684-4F0E-BC72-9F25151EE078}" name="Column1" dataDxfId="54"/>
    <tableColumn id="2" xr3:uid="{32DBE936-2555-4476-B5E5-C770BF2408D1}" name="Column2" dataDxfId="53"/>
    <tableColumn id="3" xr3:uid="{3962DD10-25A4-4324-8A88-5B5EDDA527CF}" name="Column3" dataDxfId="52"/>
    <tableColumn id="19" xr3:uid="{2DE6AB68-69BB-4D21-9484-B37F5323BDEC}" name="Column19" dataDxfId="51"/>
    <tableColumn id="20" xr3:uid="{F3BA198D-D809-4DB3-8E52-283DFF49E118}" name="Column20" dataDxfId="50"/>
    <tableColumn id="8" xr3:uid="{A1BBAF38-FE70-4870-B5A1-F5511B4FC2DF}" name="Column8" dataDxfId="49"/>
    <tableColumn id="10" xr3:uid="{A9264A6C-CD35-4E72-8B27-B506F3813830}" name="Column10" dataDxfId="48"/>
    <tableColumn id="11" xr3:uid="{3DF4BDE3-8592-423C-A80F-B829272B9E5F}" name="Column11" dataDxfId="47"/>
    <tableColumn id="12" xr3:uid="{5389788C-F3D3-42C3-86CF-41BEF6794B92}" name="Column12" dataDxfId="46"/>
    <tableColumn id="13" xr3:uid="{277EFC2B-22B8-48A8-AD65-D0D50F2F9A04}" name="Column13" dataDxfId="45"/>
    <tableColumn id="14" xr3:uid="{6CF63532-4B00-475F-8D35-9F42E5379669}" name="Column14" dataDxfId="44"/>
    <tableColumn id="15" xr3:uid="{4B95A0AF-A504-4299-8785-288D6759864A}" name="Column15" dataDxfId="43"/>
    <tableColumn id="16" xr3:uid="{C8545831-34F0-4148-867D-CA36262D5376}" name="Column16" dataDxfId="42"/>
    <tableColumn id="17" xr3:uid="{0974AC34-18A1-46FE-B39F-E3BAF22D926C}" name="Column17" dataDxfId="41"/>
    <tableColumn id="18" xr3:uid="{D733AFA7-93C6-4F84-BB25-196DD8B66490}" name="Column18" dataDxfId="4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C91756-F1BC-4F42-BD1E-64394BC4859C}" name="Table256789111216" displayName="Table256789111216" ref="A50:O56" headerRowCount="0" totalsRowShown="0" headerRowDxfId="39" tableBorderDxfId="38" totalsRowBorderDxfId="37">
  <tableColumns count="15">
    <tableColumn id="1" xr3:uid="{B0614315-AFA4-4403-8F2D-81E629FCD59B}" name="Column1" dataDxfId="36"/>
    <tableColumn id="2" xr3:uid="{2FA98008-DA48-402A-BF02-6358751D54C1}" name="Column2" dataDxfId="35"/>
    <tableColumn id="3" xr3:uid="{C1288783-3C20-4DE5-A7EE-02489B6EAA52}" name="Column3" dataDxfId="34"/>
    <tableColumn id="19" xr3:uid="{E8BEE3FF-D286-4368-8208-B0F62CBA26E6}" name="Column19" dataDxfId="33"/>
    <tableColumn id="20" xr3:uid="{D2A5737E-4E09-4F71-9E9F-DDB61D3867A2}" name="Column20" dataDxfId="32"/>
    <tableColumn id="8" xr3:uid="{5EB137C3-3C87-44AE-90B9-9EA6DD4188FC}" name="Column8" dataDxfId="31"/>
    <tableColumn id="10" xr3:uid="{E62122C0-CA6E-4901-87E8-2C362C2611BA}" name="Column10" dataDxfId="30"/>
    <tableColumn id="11" xr3:uid="{DFFCB9AB-4D1F-415F-9BFB-AE4BF6A83E2E}" name="Column11" dataDxfId="29"/>
    <tableColumn id="12" xr3:uid="{363FCF46-A077-4245-8DF1-B7A570C66700}" name="Column12" dataDxfId="28"/>
    <tableColumn id="13" xr3:uid="{181C0F00-6D78-4974-A654-EB4BEAE4E4D9}" name="Column13" dataDxfId="27"/>
    <tableColumn id="14" xr3:uid="{A1D665E9-4235-4AD1-B6E6-159DBD434928}" name="Column14" dataDxfId="26"/>
    <tableColumn id="15" xr3:uid="{9ACA73B6-8DA6-458A-B96C-845D8F59C2E5}" name="Column15" dataDxfId="25"/>
    <tableColumn id="16" xr3:uid="{9D31C581-E3CD-4895-B19C-F566CA22D936}" name="Column16" dataDxfId="24"/>
    <tableColumn id="17" xr3:uid="{FDECB252-BBFA-482B-9835-7E67146AF767}" name="Column17" dataDxfId="23"/>
    <tableColumn id="18" xr3:uid="{CD87C8D7-E746-4BF1-965F-65C2AD6A08B5}" name="Column18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BE84C6-481E-45BB-9AAA-C4F5D8F22BBA}" name="Table256" displayName="Table256" ref="A10:S16" headerRowCount="0" totalsRowShown="0" headerRowDxfId="279" tableBorderDxfId="278" totalsRowBorderDxfId="277">
  <tableColumns count="19">
    <tableColumn id="1" xr3:uid="{326DFE0E-5782-44AB-AD36-EF7DAA34C514}" name="Column1" dataDxfId="276"/>
    <tableColumn id="2" xr3:uid="{808C08AA-729C-4C38-86DD-197B61A9C93A}" name="Column2" dataDxfId="275"/>
    <tableColumn id="3" xr3:uid="{B4FCF653-2D4A-4232-A712-D67FD9596F30}" name="Column3" dataDxfId="274"/>
    <tableColumn id="19" xr3:uid="{C58D6095-69B1-479C-ADE9-EF47D99F7300}" name="Column19" dataDxfId="273"/>
    <tableColumn id="20" xr3:uid="{7C8200AD-9169-4E09-BC99-C4E2E6741AD1}" name="Column20" dataDxfId="272"/>
    <tableColumn id="4" xr3:uid="{07344DD5-FB2D-4E43-8165-35C3C1AA9239}" name="Column4" dataDxfId="271"/>
    <tableColumn id="5" xr3:uid="{A7BAA3B2-5DB2-4054-827E-EFD734918ACC}" name="Column5" dataDxfId="270"/>
    <tableColumn id="6" xr3:uid="{E26DD93D-D779-4790-8498-E9679882C507}" name="Column6" dataDxfId="269"/>
    <tableColumn id="7" xr3:uid="{76727625-42F9-48D9-9323-414343E828C6}" name="Column7" dataDxfId="268"/>
    <tableColumn id="8" xr3:uid="{63C2C958-35CD-470C-BE46-FE7E84C43594}" name="Column8" dataDxfId="267"/>
    <tableColumn id="10" xr3:uid="{0E12C502-4314-4BD5-89C8-FCCE59AC191C}" name="Column10" dataDxfId="266"/>
    <tableColumn id="11" xr3:uid="{9E0AD506-C5EA-41AE-9BC8-0D352E738112}" name="Column11" dataDxfId="265"/>
    <tableColumn id="12" xr3:uid="{FB9ED161-3AA4-44DA-AC39-5ABC00CFDD8B}" name="Column12" dataDxfId="264"/>
    <tableColumn id="13" xr3:uid="{964DFFCA-FAB0-4916-A1FE-0025DA699ACA}" name="Column13" dataDxfId="263"/>
    <tableColumn id="14" xr3:uid="{8820E0A2-DA6C-42B9-A707-DBB8EA15367B}" name="Column14" dataDxfId="262"/>
    <tableColumn id="15" xr3:uid="{2C1EFA1B-6B7F-412B-8DD2-B666F2DE2003}" name="Column15" dataDxfId="261"/>
    <tableColumn id="16" xr3:uid="{340690C5-CD46-470B-AB9B-34054D5A0DFD}" name="Column16" dataDxfId="260"/>
    <tableColumn id="17" xr3:uid="{C965DCF5-A558-4AE3-BC80-215C7E045068}" name="Column17" dataDxfId="259"/>
    <tableColumn id="18" xr3:uid="{7FE45694-6FCA-4801-AAEB-4CC331C8958B}" name="Column18" dataDxfId="25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FD6436-4627-4F63-943D-8C24717DAFC1}" name="Table2567" displayName="Table2567" ref="A18:S24" headerRowCount="0" totalsRowShown="0" headerRowDxfId="257" tableBorderDxfId="256" totalsRowBorderDxfId="255">
  <tableColumns count="19">
    <tableColumn id="1" xr3:uid="{1F693C17-B999-47E0-A295-85C690FA5C75}" name="Column1" dataDxfId="254"/>
    <tableColumn id="2" xr3:uid="{192FD95B-5335-4B6C-B6C4-0219A2D01DDC}" name="Column2" dataDxfId="253"/>
    <tableColumn id="3" xr3:uid="{3F2458C7-6273-4433-A879-C8EC95045AD9}" name="Column3" dataDxfId="252"/>
    <tableColumn id="19" xr3:uid="{28231500-D547-4155-9EE8-176CC29216F6}" name="Column19" dataDxfId="251"/>
    <tableColumn id="20" xr3:uid="{C3A53B15-B151-4F34-9B1B-23CC1F988EFD}" name="Column20" dataDxfId="250"/>
    <tableColumn id="4" xr3:uid="{DF7E1016-04E2-466F-9760-B49367F703BF}" name="Column4" dataDxfId="249"/>
    <tableColumn id="5" xr3:uid="{269A1792-1DCD-456C-A874-B00C842EFFAB}" name="Column5" dataDxfId="248"/>
    <tableColumn id="6" xr3:uid="{75C047B4-43B9-4561-B074-77FCC677F078}" name="Column6" dataDxfId="247"/>
    <tableColumn id="7" xr3:uid="{8A910750-E1EA-4571-A048-0DEE8F74AFFB}" name="Column7" dataDxfId="246"/>
    <tableColumn id="8" xr3:uid="{535ACCAF-EE89-4A1A-8856-4915FAAE4BD0}" name="Column8" dataDxfId="245"/>
    <tableColumn id="10" xr3:uid="{2EEC4782-6F77-4883-9374-CBA1C59EF7E8}" name="Column10" dataDxfId="244"/>
    <tableColumn id="11" xr3:uid="{890AE880-0D0D-4B94-B60F-12C68064D8D6}" name="Column11" dataDxfId="243"/>
    <tableColumn id="12" xr3:uid="{058D1A4F-2301-457E-9843-377F316F1D65}" name="Column12" dataDxfId="242"/>
    <tableColumn id="13" xr3:uid="{9B03BC29-67FE-43C1-8C5B-34E49465114D}" name="Column13" dataDxfId="241"/>
    <tableColumn id="14" xr3:uid="{5FD17BC9-F098-4CC9-B132-573E94DAB2FD}" name="Column14" dataDxfId="240"/>
    <tableColumn id="15" xr3:uid="{BE6AC8EA-396B-4A24-A8F8-9DA7B1843AEA}" name="Column15" dataDxfId="239"/>
    <tableColumn id="16" xr3:uid="{DE7337E2-6EE6-46F5-8147-2786CFB6ED3F}" name="Column16" dataDxfId="238"/>
    <tableColumn id="17" xr3:uid="{0C25E2C9-7545-455E-94CD-ACB76E704830}" name="Column17" dataDxfId="237"/>
    <tableColumn id="18" xr3:uid="{72B62DCD-A279-4DF0-963D-EE25ABE5AAB9}" name="Column18" dataDxfId="2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290F61-48D7-4249-9D8B-1FC58065A3C9}" name="Table256789" displayName="Table256789" ref="A34:S40" headerRowCount="0" totalsRowShown="0" headerRowDxfId="235" tableBorderDxfId="234" totalsRowBorderDxfId="233">
  <tableColumns count="19">
    <tableColumn id="1" xr3:uid="{AFF200DE-17EA-4EFF-A3A2-F85B60D7EF2B}" name="Column1" dataDxfId="232"/>
    <tableColumn id="2" xr3:uid="{8280A15A-1DCE-4256-8D81-060785729CB0}" name="Column2" dataDxfId="231"/>
    <tableColumn id="3" xr3:uid="{DC8896BF-25E8-4460-BEEA-634B306C0BAA}" name="Column3" dataDxfId="230"/>
    <tableColumn id="19" xr3:uid="{70E692B1-7F6E-4D29-9576-D88FAEF2FEB8}" name="Column19" dataDxfId="229"/>
    <tableColumn id="20" xr3:uid="{9B32023B-8253-4F1C-93E4-206370F7AB2E}" name="Column20" dataDxfId="228"/>
    <tableColumn id="4" xr3:uid="{D115E297-1376-434F-A0D9-9EC427483F56}" name="Column4" dataDxfId="227"/>
    <tableColumn id="5" xr3:uid="{3059614E-0C02-4D2C-A91C-77529FA576CD}" name="Column5" dataDxfId="226"/>
    <tableColumn id="6" xr3:uid="{61A8AA89-C1A0-4BCB-A36C-F4678DB824A9}" name="Column6" dataDxfId="225"/>
    <tableColumn id="7" xr3:uid="{8FF2C74C-CCB9-4AE3-8C82-FFE88354D5CC}" name="Column7" dataDxfId="224"/>
    <tableColumn id="8" xr3:uid="{7CA0AFA9-B908-4F52-BBCF-5636A3949FC2}" name="Column8" dataDxfId="223"/>
    <tableColumn id="10" xr3:uid="{A199B8BD-F168-4A03-8037-7DCB1CCBEC27}" name="Column10" dataDxfId="222"/>
    <tableColumn id="11" xr3:uid="{F0A606D7-FB6E-4E4A-AE91-CA4406184C61}" name="Column11" dataDxfId="221"/>
    <tableColumn id="12" xr3:uid="{2B5356A3-33C8-455C-A340-D296D8CF2D52}" name="Column12" dataDxfId="220"/>
    <tableColumn id="13" xr3:uid="{D63AB76E-C414-4BEA-AA84-C1716F1ECBF5}" name="Column13" dataDxfId="219"/>
    <tableColumn id="14" xr3:uid="{33DD089F-19D1-48C1-9D56-070123290A59}" name="Column14" dataDxfId="218"/>
    <tableColumn id="15" xr3:uid="{C2EA0BEF-1875-46EB-8B5F-F3DC6D7BF130}" name="Column15" dataDxfId="217"/>
    <tableColumn id="16" xr3:uid="{41E59A23-DE7A-4026-BF06-2D447740C502}" name="Column16" dataDxfId="216"/>
    <tableColumn id="17" xr3:uid="{7779ADD4-B17A-4630-A826-ED8556858754}" name="Column17" dataDxfId="215"/>
    <tableColumn id="18" xr3:uid="{2D10F631-13F0-42E3-AE2A-F70CE664933F}" name="Column18" dataDxfId="21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8343A5-BBBE-4DB8-9F2E-3B8FE41DACEB}" name="Table25678" displayName="Table25678" ref="A26:S32" headerRowCount="0" totalsRowShown="0" headerRowDxfId="213" tableBorderDxfId="212" totalsRowBorderDxfId="211">
  <tableColumns count="19">
    <tableColumn id="1" xr3:uid="{FE960523-AA51-41BE-88A2-35E3496D51C3}" name="Column1" dataDxfId="210"/>
    <tableColumn id="2" xr3:uid="{47AEC2AF-1C81-4978-AC27-85DBC5AE7094}" name="Column2" dataDxfId="209"/>
    <tableColumn id="3" xr3:uid="{998EB76C-8A2F-42C3-B54E-2DE3F154FC39}" name="Column3" dataDxfId="208"/>
    <tableColumn id="19" xr3:uid="{3AE18358-FB7D-4620-B0E0-AFC4E6600E71}" name="Column19" dataDxfId="207"/>
    <tableColumn id="20" xr3:uid="{CED4C65E-F4E0-400C-BC34-61C1D0205C28}" name="Column20" dataDxfId="206"/>
    <tableColumn id="4" xr3:uid="{B731B844-5D5B-47F0-B3CC-CEF3B832B975}" name="Column4" dataDxfId="205"/>
    <tableColumn id="5" xr3:uid="{58169A19-9CCC-4944-952A-569BB68B52D5}" name="Column5" dataDxfId="204"/>
    <tableColumn id="6" xr3:uid="{24DF4A5C-AC1B-4DEE-8BC6-351B45E65018}" name="Column6" dataDxfId="203"/>
    <tableColumn id="7" xr3:uid="{736FFA61-7F00-484E-9AAC-7F89F196546E}" name="Column7" dataDxfId="202"/>
    <tableColumn id="8" xr3:uid="{E3A35B3F-D60B-4219-A006-B7F2CFF47E52}" name="Column8" dataDxfId="201"/>
    <tableColumn id="10" xr3:uid="{5FDAED17-0F3C-47E1-9709-6375DDC5EF74}" name="Column10" dataDxfId="200"/>
    <tableColumn id="11" xr3:uid="{3798E691-569B-4696-A96F-89DA4E455C11}" name="Column11" dataDxfId="199"/>
    <tableColumn id="12" xr3:uid="{CE083B43-3546-4063-A8C2-EE5720B7F46E}" name="Column12" dataDxfId="198"/>
    <tableColumn id="13" xr3:uid="{9DBEE36B-A6B9-4C9E-ABC5-0290F1500EAD}" name="Column13" dataDxfId="197"/>
    <tableColumn id="14" xr3:uid="{590962BB-17EF-4909-A1AA-3EBAEA21C420}" name="Column14" dataDxfId="196"/>
    <tableColumn id="15" xr3:uid="{69E169FF-68B0-47D7-84BA-1345218895EA}" name="Column15" dataDxfId="195"/>
    <tableColumn id="16" xr3:uid="{FDD72AEE-D5B8-4960-A922-554FC6688971}" name="Column16" dataDxfId="194"/>
    <tableColumn id="17" xr3:uid="{FFBB7E03-2677-4F0C-A512-818C45F98F97}" name="Column17" dataDxfId="193"/>
    <tableColumn id="18" xr3:uid="{6EA7CD59-8FC2-4D14-B624-9C3B60F7214F}" name="Column18" dataDxfId="1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611537-F246-40A7-BD80-F1A6DA635ED3}" name="Table25678911" displayName="Table25678911" ref="A42:S48" headerRowCount="0" totalsRowShown="0" headerRowDxfId="191" tableBorderDxfId="190" totalsRowBorderDxfId="189">
  <tableColumns count="19">
    <tableColumn id="1" xr3:uid="{985159A9-19DB-4D01-B6D3-84833042F53E}" name="Column1" dataDxfId="188"/>
    <tableColumn id="2" xr3:uid="{8A045019-557E-4FDA-A757-9DAF3EB6B677}" name="Column2" dataDxfId="187"/>
    <tableColumn id="3" xr3:uid="{66E85F1D-BB58-4287-B5F7-185EA89B7989}" name="Column3" dataDxfId="186"/>
    <tableColumn id="19" xr3:uid="{5C675FD0-1AE3-4130-85B8-DB6D451F3AE5}" name="Column19" dataDxfId="185"/>
    <tableColumn id="20" xr3:uid="{E319D474-B867-4016-B98B-C2289E7FF057}" name="Column20" dataDxfId="184"/>
    <tableColumn id="4" xr3:uid="{7292CAF2-834D-4DB0-9C9D-B563B91FB426}" name="Column4" dataDxfId="183"/>
    <tableColumn id="5" xr3:uid="{254E2613-1C6E-402F-8378-CDFF6E4CA4FF}" name="Column5" dataDxfId="182"/>
    <tableColumn id="6" xr3:uid="{A5E86A43-D56D-4385-BFAC-761AF57633F5}" name="Column6" dataDxfId="181"/>
    <tableColumn id="7" xr3:uid="{7CDFB8E4-1BD2-459E-873E-83A868759FF8}" name="Column7" dataDxfId="180"/>
    <tableColumn id="8" xr3:uid="{19AE85A0-0C13-4318-88B7-92D52132FEDB}" name="Column8" dataDxfId="179"/>
    <tableColumn id="10" xr3:uid="{25F2F9B5-39C3-4C09-B0A7-7E74C33E7D0A}" name="Column10" dataDxfId="178"/>
    <tableColumn id="11" xr3:uid="{2ADFCBDD-CEDC-4583-9035-0D216CA34673}" name="Column11" dataDxfId="177"/>
    <tableColumn id="12" xr3:uid="{EB69A41A-C4B6-4E65-AF36-527ADD9E99C0}" name="Column12" dataDxfId="176"/>
    <tableColumn id="13" xr3:uid="{BF771C1E-1882-4395-B06D-094D9108A56E}" name="Column13" dataDxfId="175"/>
    <tableColumn id="14" xr3:uid="{8D501FFE-B066-41D1-B7AD-4BB70EB3CC20}" name="Column14" dataDxfId="174"/>
    <tableColumn id="15" xr3:uid="{2E450CE4-AFA9-4CDE-AE51-88EB7A6E78BF}" name="Column15" dataDxfId="173"/>
    <tableColumn id="16" xr3:uid="{4C136877-2745-46C3-AFAD-52FF409EC3E6}" name="Column16" dataDxfId="172"/>
    <tableColumn id="17" xr3:uid="{833D0392-C301-4E41-89F8-824BEFE922BA}" name="Column17" dataDxfId="171"/>
    <tableColumn id="18" xr3:uid="{0252218E-073F-4E46-B022-5FCD7E7C94B1}" name="Column18" dataDxfId="17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D84F6F-CA95-4565-9E82-E39480745BA9}" name="Table2567891112" displayName="Table2567891112" ref="A50:S56" headerRowCount="0" totalsRowShown="0" headerRowDxfId="169" tableBorderDxfId="168" totalsRowBorderDxfId="167">
  <tableColumns count="19">
    <tableColumn id="1" xr3:uid="{55A7FDEC-1AE6-4357-AF50-AD5416DEEF2B}" name="Column1" dataDxfId="166"/>
    <tableColumn id="2" xr3:uid="{F6FEC0ED-54ED-457F-8A65-0DE156CBF875}" name="Column2" dataDxfId="165"/>
    <tableColumn id="3" xr3:uid="{7F803DED-63FF-497F-BCD0-32103EBDA353}" name="Column3" dataDxfId="164"/>
    <tableColumn id="19" xr3:uid="{C07D1501-D55E-4146-8EB7-F610820113DF}" name="Column19" dataDxfId="163"/>
    <tableColumn id="20" xr3:uid="{60805E1E-F186-4355-9132-0A2A77517624}" name="Column20" dataDxfId="162"/>
    <tableColumn id="4" xr3:uid="{486C6454-EC50-42D0-BA1A-C008CE6F8D39}" name="Column4" dataDxfId="161"/>
    <tableColumn id="5" xr3:uid="{4971D01A-29F7-4984-8C73-FDACD6938406}" name="Column5" dataDxfId="160"/>
    <tableColumn id="6" xr3:uid="{2A7512FD-3A4A-4D31-8E90-989493505C3E}" name="Column6" dataDxfId="159"/>
    <tableColumn id="7" xr3:uid="{F41852C3-6590-4E8D-90FC-40B3B29ECBE6}" name="Column7" dataDxfId="158"/>
    <tableColumn id="8" xr3:uid="{59FAF9A9-09A5-47A6-9128-6866160DDF27}" name="Column8" dataDxfId="157"/>
    <tableColumn id="10" xr3:uid="{63DEB030-0F30-4DCF-9BCF-53604DF8F1DA}" name="Column10" dataDxfId="156"/>
    <tableColumn id="11" xr3:uid="{7183297F-74A4-4EC7-8FE4-91CB3FAA4928}" name="Column11" dataDxfId="155"/>
    <tableColumn id="12" xr3:uid="{6FE87ADE-DE0B-42EA-9ECA-AEDB0E74E937}" name="Column12" dataDxfId="154"/>
    <tableColumn id="13" xr3:uid="{6F14C24C-79DE-4A31-A51A-2E839ADA4076}" name="Column13" dataDxfId="153"/>
    <tableColumn id="14" xr3:uid="{0EC0AAEA-8044-47B7-9E16-2362FB06C7F5}" name="Column14" dataDxfId="152"/>
    <tableColumn id="15" xr3:uid="{D0E76BE9-82DB-4B0A-BDC3-7CBEC9C3883B}" name="Column15" dataDxfId="151"/>
    <tableColumn id="16" xr3:uid="{EE4CCD9E-B2AB-483F-96CB-CE9413C7DD88}" name="Column16" dataDxfId="150"/>
    <tableColumn id="17" xr3:uid="{284A9A2C-7958-47BA-95CC-C478CAB696A5}" name="Column17" dataDxfId="149"/>
    <tableColumn id="18" xr3:uid="{AB79FCEE-6348-4DE1-9C97-03E5A77BB0BC}" name="Column18" dataDxfId="1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BDBDA-9522-450E-AAB1-EAE17070BDD2}" name="Table252" displayName="Table252" ref="A2:O8" headerRowCount="0" totalsRowShown="0" headerRowDxfId="147" tableBorderDxfId="146" totalsRowBorderDxfId="145">
  <tableColumns count="15">
    <tableColumn id="1" xr3:uid="{28045C5F-7925-4F86-9105-8AAA3E1F6B7A}" name="Column1" dataDxfId="144"/>
    <tableColumn id="2" xr3:uid="{0868C5CC-629F-4BF4-8923-FE52A42C1B8A}" name="Column2" dataDxfId="143"/>
    <tableColumn id="3" xr3:uid="{986C1F02-ECDB-4B5D-9D5B-C14037351AFA}" name="Column3" dataDxfId="142"/>
    <tableColumn id="19" xr3:uid="{EEF05042-A0F9-4696-A6B7-55E18397139C}" name="Column19" dataDxfId="141"/>
    <tableColumn id="20" xr3:uid="{A4BAECEE-E2B8-4283-9418-5F23486941B2}" name="Column20" dataDxfId="140"/>
    <tableColumn id="8" xr3:uid="{0A72898D-AA30-46F3-8484-EA587D858DBA}" name="Column8" dataDxfId="139"/>
    <tableColumn id="10" xr3:uid="{D239B541-AFFB-4B6D-A1AB-4332F480A326}" name="Column10" dataDxfId="138"/>
    <tableColumn id="11" xr3:uid="{F8222E80-D2A3-4A5E-B83C-AA88844C8D66}" name="Column11" dataDxfId="137"/>
    <tableColumn id="12" xr3:uid="{BEA8512C-78CE-4848-885D-0A51C118E3EE}" name="Column12" dataDxfId="136"/>
    <tableColumn id="13" xr3:uid="{C32FA671-41B8-4697-B6B7-D981480643B8}" name="Column13" dataDxfId="135"/>
    <tableColumn id="14" xr3:uid="{1ADB36C1-F33D-4683-AF90-4372B9400203}" name="Column14" dataDxfId="134"/>
    <tableColumn id="15" xr3:uid="{B7B8221A-DE44-45CD-BF0D-0C6A98484B15}" name="Column15" dataDxfId="133"/>
    <tableColumn id="16" xr3:uid="{B9793259-1ED6-4366-A0D7-0F3903232D32}" name="Column16" dataDxfId="132"/>
    <tableColumn id="17" xr3:uid="{8DC01C3D-85EC-450D-A596-70B76E896F74}" name="Column17" dataDxfId="131"/>
    <tableColumn id="18" xr3:uid="{EA1FC06A-96B6-4D34-9CAC-F82ACADB6D33}" name="Column18" dataDxfId="1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EB674E-2731-4E66-B987-746BE0670A7A}" name="Table2563" displayName="Table2563" ref="A10:O16" headerRowCount="0" totalsRowShown="0" headerRowDxfId="129" tableBorderDxfId="128" totalsRowBorderDxfId="127">
  <tableColumns count="15">
    <tableColumn id="1" xr3:uid="{E2161D84-0A3F-40F9-B236-8BA7713CA21A}" name="Column1" dataDxfId="126"/>
    <tableColumn id="2" xr3:uid="{D049DD58-4484-418C-B9EB-0E7591622150}" name="Column2" dataDxfId="125"/>
    <tableColumn id="3" xr3:uid="{5957A05F-C83E-4CA8-99BE-B8F56E5C5AA9}" name="Column3" dataDxfId="124"/>
    <tableColumn id="19" xr3:uid="{19829C63-EBE5-43B1-B80E-9AA7F95DE535}" name="Column19" dataDxfId="123"/>
    <tableColumn id="20" xr3:uid="{D75F4AA9-D9C9-4AB2-BCFF-4DBB173CF73C}" name="Column20" dataDxfId="122"/>
    <tableColumn id="8" xr3:uid="{242541E8-E98A-40A8-800C-26B69FAD5C2A}" name="Column8" dataDxfId="121"/>
    <tableColumn id="10" xr3:uid="{BC04B016-0D3F-4152-926E-6F383D09FF27}" name="Column10" dataDxfId="120"/>
    <tableColumn id="11" xr3:uid="{8FA87E46-D89C-44CB-A67A-F3B72FE61EEF}" name="Column11" dataDxfId="119"/>
    <tableColumn id="12" xr3:uid="{E344C635-0671-4C27-8839-A635655B79E6}" name="Column12" dataDxfId="118"/>
    <tableColumn id="13" xr3:uid="{4EA58041-5B54-4329-BBC6-2F0E47CF6DDD}" name="Column13" dataDxfId="117"/>
    <tableColumn id="14" xr3:uid="{97235E02-B42F-4472-A176-01E754BBC70E}" name="Column14" dataDxfId="116"/>
    <tableColumn id="15" xr3:uid="{B9CF2D36-30B3-458C-AF9D-D5F73C76ED07}" name="Column15" dataDxfId="115"/>
    <tableColumn id="16" xr3:uid="{279C1581-D837-47E6-9FD7-10392FCAA0A1}" name="Column16" dataDxfId="114"/>
    <tableColumn id="17" xr3:uid="{A5DC02E7-264E-4C07-A5DC-03A268873B9C}" name="Column17" dataDxfId="113"/>
    <tableColumn id="18" xr3:uid="{EE53CD0B-3C37-45A7-A6F7-7B61F785C67D}" name="Column18" dataDxfId="1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8274-C17A-4EC9-8AF4-A94705EEF4A1}">
  <dimension ref="A1:AH56"/>
  <sheetViews>
    <sheetView topLeftCell="S1" zoomScale="90" zoomScaleNormal="90" workbookViewId="0">
      <pane ySplit="1" topLeftCell="A2" activePane="bottomLeft" state="frozen"/>
      <selection pane="bottomLeft" activeCell="U11" sqref="U11:V13"/>
    </sheetView>
  </sheetViews>
  <sheetFormatPr defaultRowHeight="14.4" x14ac:dyDescent="0.3"/>
  <cols>
    <col min="1" max="1" width="7.5546875" customWidth="1"/>
    <col min="2" max="3" width="9.44140625" customWidth="1"/>
    <col min="4" max="4" width="10.21875" customWidth="1"/>
    <col min="5" max="5" width="10.21875" style="1" customWidth="1"/>
    <col min="6" max="6" width="9.21875" style="1" customWidth="1"/>
    <col min="7" max="7" width="13.109375" style="1" customWidth="1"/>
    <col min="8" max="8" width="14.109375" customWidth="1"/>
    <col min="9" max="9" width="6.77734375" style="1" customWidth="1"/>
    <col min="10" max="10" width="13" customWidth="1"/>
    <col min="11" max="14" width="10.109375" customWidth="1"/>
    <col min="15" max="17" width="6.77734375" customWidth="1"/>
    <col min="18" max="18" width="6.77734375" style="2" customWidth="1"/>
    <col min="19" max="19" width="26.6640625" customWidth="1"/>
    <col min="21" max="25" width="10.77734375" customWidth="1"/>
    <col min="27" max="27" width="8.88671875" customWidth="1"/>
    <col min="30" max="30" width="13.44140625" customWidth="1"/>
  </cols>
  <sheetData>
    <row r="1" spans="1:34" s="10" customFormat="1" ht="17.399999999999999" x14ac:dyDescent="0.35">
      <c r="A1" s="11" t="s">
        <v>17</v>
      </c>
      <c r="B1" s="11" t="s">
        <v>8</v>
      </c>
      <c r="C1" s="11" t="s">
        <v>13</v>
      </c>
      <c r="D1" s="11" t="s">
        <v>46</v>
      </c>
      <c r="E1" s="11" t="s">
        <v>47</v>
      </c>
      <c r="F1" s="11" t="s">
        <v>22</v>
      </c>
      <c r="G1" s="12" t="s">
        <v>23</v>
      </c>
      <c r="H1" s="12" t="s">
        <v>24</v>
      </c>
      <c r="I1" s="12" t="s">
        <v>48</v>
      </c>
      <c r="J1" s="11" t="s">
        <v>9</v>
      </c>
      <c r="K1" s="11" t="s">
        <v>10</v>
      </c>
      <c r="L1" s="11" t="s">
        <v>11</v>
      </c>
      <c r="M1" s="11" t="s">
        <v>18</v>
      </c>
      <c r="N1" s="11" t="s">
        <v>12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16</v>
      </c>
    </row>
    <row r="2" spans="1:34" s="13" customFormat="1" x14ac:dyDescent="0.3">
      <c r="A2" s="8" t="s">
        <v>1</v>
      </c>
      <c r="B2" s="8" t="s">
        <v>15</v>
      </c>
      <c r="C2" s="8">
        <v>10</v>
      </c>
      <c r="D2" s="8">
        <v>32</v>
      </c>
      <c r="E2" s="8">
        <v>50</v>
      </c>
      <c r="F2" s="8" t="s">
        <v>45</v>
      </c>
      <c r="G2" s="8" t="s">
        <v>44</v>
      </c>
      <c r="H2" s="8" t="s">
        <v>30</v>
      </c>
      <c r="I2" s="8">
        <v>0.1</v>
      </c>
      <c r="J2" s="8">
        <v>0.99590000000000001</v>
      </c>
      <c r="K2" s="44">
        <f>(Table25[[#This Row],[Column14]]+Table25[[#This Row],[Column15]])/(SUM(Table25[[#This Row],[Column14]:[Column17]]))</f>
        <v>0.98051948051948057</v>
      </c>
      <c r="L2" s="44">
        <f>Table25[[#This Row],[Column14]]/(Table25[[#This Row],[Column14]]+Table25[[#This Row],[Column16]])</f>
        <v>0.99333333333333329</v>
      </c>
      <c r="M2" s="44">
        <f>Table25[[#This Row],[Column14]]/(Table25[[#This Row],[Column14]]+Table25[[#This Row],[Column17]])</f>
        <v>0.96753246753246758</v>
      </c>
      <c r="N2" s="44">
        <f>(2*Table25[[#This Row],[Column11]]*Table25[[#This Row],[Column12]])/(Table25[[#This Row],[Column11]]+Table25[[#This Row],[Column12]])</f>
        <v>0.98026315789473684</v>
      </c>
      <c r="O2" s="8">
        <v>149</v>
      </c>
      <c r="P2" s="8">
        <v>153</v>
      </c>
      <c r="Q2" s="8">
        <v>1</v>
      </c>
      <c r="R2" s="8">
        <v>5</v>
      </c>
      <c r="S2" s="8"/>
    </row>
    <row r="3" spans="1:34" x14ac:dyDescent="0.3">
      <c r="A3" s="8"/>
      <c r="B3" s="8"/>
      <c r="C3" s="8"/>
      <c r="D3" s="8"/>
      <c r="E3" s="8"/>
      <c r="F3" s="8"/>
      <c r="G3" s="8"/>
      <c r="H3" s="8"/>
      <c r="I3" s="8"/>
      <c r="J3" s="6">
        <v>0.99109999999999998</v>
      </c>
      <c r="K3" s="44">
        <f>(Table25[[#This Row],[Column14]]+Table25[[#This Row],[Column15]])/(SUM(Table25[[#This Row],[Column14]:[Column17]]))</f>
        <v>0.98376623376623373</v>
      </c>
      <c r="L3" s="44">
        <f>Table25[[#This Row],[Column14]]/(Table25[[#This Row],[Column14]]+Table25[[#This Row],[Column16]])</f>
        <v>1</v>
      </c>
      <c r="M3" s="44">
        <f>Table25[[#This Row],[Column14]]/(Table25[[#This Row],[Column14]]+Table25[[#This Row],[Column17]])</f>
        <v>0.96753246753246758</v>
      </c>
      <c r="N3" s="44">
        <f>(2*Table25[[#This Row],[Column11]]*Table25[[#This Row],[Column12]])/(Table25[[#This Row],[Column11]]+Table25[[#This Row],[Column12]])</f>
        <v>0.98349834983498352</v>
      </c>
      <c r="O3" s="6">
        <v>149</v>
      </c>
      <c r="P3" s="6">
        <v>154</v>
      </c>
      <c r="Q3" s="6">
        <v>0</v>
      </c>
      <c r="R3" s="6">
        <v>5</v>
      </c>
      <c r="S3" s="5"/>
    </row>
    <row r="4" spans="1:34" x14ac:dyDescent="0.3">
      <c r="A4" s="8"/>
      <c r="B4" s="8"/>
      <c r="C4" s="8"/>
      <c r="D4" s="8"/>
      <c r="E4" s="8"/>
      <c r="F4" s="8"/>
      <c r="G4" s="8"/>
      <c r="H4" s="8"/>
      <c r="I4" s="8"/>
      <c r="J4" s="8">
        <v>0.99509999999999998</v>
      </c>
      <c r="K4" s="44">
        <f>(Table25[[#This Row],[Column14]]+Table25[[#This Row],[Column15]])/(SUM(Table25[[#This Row],[Column14]:[Column17]]))</f>
        <v>0.98376623376623373</v>
      </c>
      <c r="L4" s="44">
        <f>Table25[[#This Row],[Column14]]/(Table25[[#This Row],[Column14]]+Table25[[#This Row],[Column16]])</f>
        <v>1</v>
      </c>
      <c r="M4" s="44">
        <f>Table25[[#This Row],[Column14]]/(Table25[[#This Row],[Column14]]+Table25[[#This Row],[Column17]])</f>
        <v>0.96753246753246758</v>
      </c>
      <c r="N4" s="44">
        <f>(2*Table25[[#This Row],[Column11]]*Table25[[#This Row],[Column12]])/(Table25[[#This Row],[Column11]]+Table25[[#This Row],[Column12]])</f>
        <v>0.98349834983498352</v>
      </c>
      <c r="O4" s="8">
        <v>149</v>
      </c>
      <c r="P4" s="8">
        <v>154</v>
      </c>
      <c r="Q4" s="8">
        <v>0</v>
      </c>
      <c r="R4" s="8">
        <v>5</v>
      </c>
      <c r="S4" s="9"/>
    </row>
    <row r="5" spans="1:34" x14ac:dyDescent="0.3">
      <c r="A5" s="8"/>
      <c r="B5" s="8"/>
      <c r="C5" s="8"/>
      <c r="D5" s="8"/>
      <c r="E5" s="8"/>
      <c r="F5" s="8"/>
      <c r="G5" s="8"/>
      <c r="H5" s="8"/>
      <c r="I5" s="8"/>
      <c r="J5" s="8">
        <v>0.99839999999999995</v>
      </c>
      <c r="K5" s="44">
        <f>(Table25[[#This Row],[Column14]]+Table25[[#This Row],[Column15]])/(SUM(Table25[[#This Row],[Column14]:[Column17]]))</f>
        <v>0.97727272727272729</v>
      </c>
      <c r="L5" s="44">
        <f>Table25[[#This Row],[Column14]]/(Table25[[#This Row],[Column14]]+Table25[[#This Row],[Column16]])</f>
        <v>1</v>
      </c>
      <c r="M5" s="44">
        <f>Table25[[#This Row],[Column14]]/(Table25[[#This Row],[Column14]]+Table25[[#This Row],[Column17]])</f>
        <v>0.95454545454545459</v>
      </c>
      <c r="N5" s="44">
        <f>(2*Table25[[#This Row],[Column11]]*Table25[[#This Row],[Column12]])/(Table25[[#This Row],[Column11]]+Table25[[#This Row],[Column12]])</f>
        <v>0.9767441860465117</v>
      </c>
      <c r="O5" s="8">
        <v>147</v>
      </c>
      <c r="P5" s="8">
        <v>154</v>
      </c>
      <c r="Q5" s="8">
        <v>0</v>
      </c>
      <c r="R5" s="8">
        <v>7</v>
      </c>
      <c r="S5" s="9"/>
    </row>
    <row r="6" spans="1:34" x14ac:dyDescent="0.3">
      <c r="A6" s="8"/>
      <c r="B6" s="8"/>
      <c r="C6" s="8"/>
      <c r="D6" s="8"/>
      <c r="E6" s="8"/>
      <c r="F6" s="8"/>
      <c r="G6" s="8"/>
      <c r="H6" s="8"/>
      <c r="I6" s="8"/>
      <c r="J6" s="8">
        <v>0.99680000000000002</v>
      </c>
      <c r="K6" s="44">
        <f>(Table25[[#This Row],[Column14]]+Table25[[#This Row],[Column15]])/(SUM(Table25[[#This Row],[Column14]:[Column17]]))</f>
        <v>0.97727272727272729</v>
      </c>
      <c r="L6" s="44">
        <f>Table25[[#This Row],[Column14]]/(Table25[[#This Row],[Column14]]+Table25[[#This Row],[Column16]])</f>
        <v>0.99328859060402686</v>
      </c>
      <c r="M6" s="44">
        <f>Table25[[#This Row],[Column14]]/(Table25[[#This Row],[Column14]]+Table25[[#This Row],[Column17]])</f>
        <v>0.96103896103896103</v>
      </c>
      <c r="N6" s="44">
        <f>(2*Table25[[#This Row],[Column11]]*Table25[[#This Row],[Column12]])/(Table25[[#This Row],[Column11]]+Table25[[#This Row],[Column12]])</f>
        <v>0.97689768976897684</v>
      </c>
      <c r="O6" s="8">
        <v>148</v>
      </c>
      <c r="P6" s="8">
        <v>153</v>
      </c>
      <c r="Q6" s="8">
        <v>1</v>
      </c>
      <c r="R6" s="8">
        <v>6</v>
      </c>
      <c r="S6" s="9"/>
      <c r="W6" t="s">
        <v>73</v>
      </c>
      <c r="X6" s="4">
        <f>AVERAGE(V11:V17)</f>
        <v>0.87183055040197921</v>
      </c>
      <c r="Y6" s="4">
        <f>AVERAGE(V11:V14)</f>
        <v>0.94872835497835517</v>
      </c>
    </row>
    <row r="7" spans="1:34" x14ac:dyDescent="0.3">
      <c r="A7" s="8"/>
      <c r="B7" s="8"/>
      <c r="C7" s="8"/>
      <c r="D7" s="8"/>
      <c r="E7" s="8"/>
      <c r="F7" s="8"/>
      <c r="G7" s="8"/>
      <c r="H7" s="8"/>
      <c r="I7" s="8"/>
      <c r="J7" s="8">
        <v>0.99590000000000001</v>
      </c>
      <c r="K7" s="44">
        <f>(Table25[[#This Row],[Column14]]+Table25[[#This Row],[Column15]])/(SUM(Table25[[#This Row],[Column14]:[Column17]]))</f>
        <v>0.97727272727272729</v>
      </c>
      <c r="L7" s="44">
        <f>Table25[[#This Row],[Column14]]/(Table25[[#This Row],[Column14]]+Table25[[#This Row],[Column16]])</f>
        <v>1</v>
      </c>
      <c r="M7" s="44">
        <f>Table25[[#This Row],[Column14]]/(Table25[[#This Row],[Column14]]+Table25[[#This Row],[Column17]])</f>
        <v>0.95454545454545459</v>
      </c>
      <c r="N7" s="44">
        <f>(2*Table25[[#This Row],[Column11]]*Table25[[#This Row],[Column12]])/(Table25[[#This Row],[Column11]]+Table25[[#This Row],[Column12]])</f>
        <v>0.9767441860465117</v>
      </c>
      <c r="O7" s="8">
        <v>147</v>
      </c>
      <c r="P7" s="8">
        <v>154</v>
      </c>
      <c r="Q7" s="8">
        <v>0</v>
      </c>
      <c r="R7" s="8">
        <v>7</v>
      </c>
      <c r="S7" s="9"/>
      <c r="W7" t="s">
        <v>74</v>
      </c>
      <c r="X7">
        <f>_xlfn.STDEV.P(V11:V17)</f>
        <v>0.11135225004768814</v>
      </c>
      <c r="Y7">
        <f>_xlfn.STDEV.P(V11:V14)</f>
        <v>2.81290958841523E-2</v>
      </c>
    </row>
    <row r="8" spans="1:34" x14ac:dyDescent="0.3">
      <c r="A8" s="7"/>
      <c r="B8" s="8"/>
      <c r="C8" s="8"/>
      <c r="D8" s="8"/>
      <c r="E8" s="8"/>
      <c r="F8" s="8"/>
      <c r="G8" s="8"/>
      <c r="H8" s="8"/>
      <c r="I8" s="8"/>
      <c r="J8" s="43"/>
      <c r="K8" s="46">
        <f>AVERAGE(K2:K7)</f>
        <v>0.97997835497835506</v>
      </c>
      <c r="L8" s="46">
        <f>AVERAGE(L2:L7)</f>
        <v>0.99777032065622662</v>
      </c>
      <c r="M8" s="46">
        <f>AVERAGE(M2:M7)</f>
        <v>0.96212121212121227</v>
      </c>
      <c r="N8" s="46">
        <f>AVERAGE(N2:N7)</f>
        <v>0.97960765323778398</v>
      </c>
      <c r="O8" s="8"/>
      <c r="P8" s="8"/>
      <c r="Q8" s="8"/>
      <c r="R8" s="8"/>
      <c r="S8" s="9"/>
      <c r="U8">
        <f>AVERAGE(Q2:Q7)</f>
        <v>0.33333333333333331</v>
      </c>
    </row>
    <row r="9" spans="1:34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45"/>
      <c r="M9" s="45"/>
      <c r="N9" s="45"/>
      <c r="O9" s="45"/>
      <c r="P9" s="13"/>
      <c r="Q9" s="13">
        <f>AVERAGE(Q2:Q7)</f>
        <v>0.33333333333333331</v>
      </c>
      <c r="R9" s="13"/>
    </row>
    <row r="10" spans="1:34" x14ac:dyDescent="0.3">
      <c r="A10" s="8" t="s">
        <v>2</v>
      </c>
      <c r="B10" s="8" t="s">
        <v>15</v>
      </c>
      <c r="C10" s="8">
        <v>10</v>
      </c>
      <c r="D10" s="8">
        <v>64</v>
      </c>
      <c r="E10" s="8">
        <v>100</v>
      </c>
      <c r="F10" s="8" t="s">
        <v>45</v>
      </c>
      <c r="G10" s="8" t="s">
        <v>44</v>
      </c>
      <c r="H10" s="8" t="s">
        <v>25</v>
      </c>
      <c r="I10" s="8">
        <v>0.1</v>
      </c>
      <c r="J10" s="8">
        <v>0.99270000000000003</v>
      </c>
      <c r="K10" s="44">
        <f>(Table256[[#This Row],[Column14]]+Table256[[#This Row],[Column15]])/(SUM(Table256[[#This Row],[Column14]:[Column17]]))</f>
        <v>0.97727272727272729</v>
      </c>
      <c r="L10" s="44">
        <f>Table256[[#This Row],[Column14]]/(Table256[[#This Row],[Column14]]+Table256[[#This Row],[Column16]])</f>
        <v>1</v>
      </c>
      <c r="M10" s="44">
        <f>Table256[[#This Row],[Column14]]/(Table256[[#This Row],[Column14]]+Table256[[#This Row],[Column17]])</f>
        <v>0.95454545454545459</v>
      </c>
      <c r="N10" s="44">
        <f>(2*Table256[[#This Row],[Column11]]*Table256[[#This Row],[Column12]])/(Table256[[#This Row],[Column11]]+Table256[[#This Row],[Column12]])</f>
        <v>0.9767441860465117</v>
      </c>
      <c r="O10" s="8">
        <v>147</v>
      </c>
      <c r="P10" s="8">
        <v>154</v>
      </c>
      <c r="Q10" s="8">
        <v>0</v>
      </c>
      <c r="R10" s="8">
        <v>7</v>
      </c>
      <c r="S10" s="8"/>
      <c r="U10" s="3" t="s">
        <v>19</v>
      </c>
      <c r="V10" s="3" t="s">
        <v>10</v>
      </c>
      <c r="W10" s="3" t="s">
        <v>11</v>
      </c>
      <c r="X10" s="3" t="s">
        <v>18</v>
      </c>
      <c r="Y10" s="3" t="s">
        <v>49</v>
      </c>
      <c r="AD10" s="3" t="s">
        <v>19</v>
      </c>
      <c r="AE10" s="3" t="s">
        <v>10</v>
      </c>
      <c r="AF10" s="3" t="s">
        <v>11</v>
      </c>
      <c r="AG10" s="3" t="s">
        <v>18</v>
      </c>
      <c r="AH10" s="3" t="s">
        <v>49</v>
      </c>
    </row>
    <row r="11" spans="1:34" x14ac:dyDescent="0.3">
      <c r="A11" s="8"/>
      <c r="B11" s="8"/>
      <c r="C11" s="8"/>
      <c r="D11" s="8"/>
      <c r="E11" s="8"/>
      <c r="F11" s="8"/>
      <c r="G11" s="8"/>
      <c r="H11" s="8"/>
      <c r="I11" s="8"/>
      <c r="J11" s="6">
        <v>0.99350000000000005</v>
      </c>
      <c r="K11" s="44">
        <f>(Table256[[#This Row],[Column14]]+Table256[[#This Row],[Column15]])/(SUM(Table256[[#This Row],[Column14]:[Column17]]))</f>
        <v>0.98051948051948057</v>
      </c>
      <c r="L11" s="44">
        <f>Table256[[#This Row],[Column14]]/(Table256[[#This Row],[Column14]]+Table256[[#This Row],[Column16]])</f>
        <v>0.98051948051948057</v>
      </c>
      <c r="M11" s="44">
        <f>Table256[[#This Row],[Column14]]/(Table256[[#This Row],[Column14]]+Table256[[#This Row],[Column17]])</f>
        <v>0.98051948051948057</v>
      </c>
      <c r="N11" s="44">
        <f>(2*Table256[[#This Row],[Column11]]*Table256[[#This Row],[Column12]])/(Table256[[#This Row],[Column11]]+Table256[[#This Row],[Column12]])</f>
        <v>0.98051948051948057</v>
      </c>
      <c r="O11" s="6">
        <v>151</v>
      </c>
      <c r="P11" s="6">
        <v>151</v>
      </c>
      <c r="Q11" s="6">
        <v>3</v>
      </c>
      <c r="R11" s="6">
        <v>3</v>
      </c>
      <c r="S11" s="5"/>
      <c r="U11" s="8" t="s">
        <v>1</v>
      </c>
      <c r="V11" s="44">
        <f>K8</f>
        <v>0.97997835497835506</v>
      </c>
      <c r="W11" s="44">
        <f>L8</f>
        <v>0.99777032065622662</v>
      </c>
      <c r="X11" s="44">
        <f t="shared" ref="X11:Y11" si="0">M8</f>
        <v>0.96212121212121227</v>
      </c>
      <c r="Y11" s="44">
        <f t="shared" si="0"/>
        <v>0.97960765323778398</v>
      </c>
      <c r="AD11" s="8" t="s">
        <v>50</v>
      </c>
      <c r="AE11" s="44">
        <v>0.97997835497835506</v>
      </c>
      <c r="AF11" s="44">
        <v>0.99777032065622662</v>
      </c>
      <c r="AG11" s="44">
        <v>0.96212121212121227</v>
      </c>
      <c r="AH11" s="44">
        <v>0.97960765323778398</v>
      </c>
    </row>
    <row r="12" spans="1:34" x14ac:dyDescent="0.3">
      <c r="A12" s="8"/>
      <c r="B12" s="8"/>
      <c r="C12" s="8"/>
      <c r="D12" s="8"/>
      <c r="E12" s="8"/>
      <c r="F12" s="8"/>
      <c r="G12" s="8"/>
      <c r="H12" s="8"/>
      <c r="I12" s="8"/>
      <c r="J12" s="8">
        <v>0.99429999999999996</v>
      </c>
      <c r="K12" s="44">
        <f>(Table256[[#This Row],[Column14]]+Table256[[#This Row],[Column15]])/(SUM(Table256[[#This Row],[Column14]:[Column17]]))</f>
        <v>0.9642857142857143</v>
      </c>
      <c r="L12" s="44">
        <f>Table256[[#This Row],[Column14]]/(Table256[[#This Row],[Column14]]+Table256[[#This Row],[Column16]])</f>
        <v>0.9673202614379085</v>
      </c>
      <c r="M12" s="44">
        <f>Table256[[#This Row],[Column14]]/(Table256[[#This Row],[Column14]]+Table256[[#This Row],[Column17]])</f>
        <v>0.96103896103896103</v>
      </c>
      <c r="N12" s="44">
        <f>(2*Table256[[#This Row],[Column11]]*Table256[[#This Row],[Column12]])/(Table256[[#This Row],[Column11]]+Table256[[#This Row],[Column12]])</f>
        <v>0.96416938110749184</v>
      </c>
      <c r="O12" s="8">
        <v>148</v>
      </c>
      <c r="P12" s="8">
        <v>149</v>
      </c>
      <c r="Q12" s="8">
        <v>5</v>
      </c>
      <c r="R12" s="8">
        <v>6</v>
      </c>
      <c r="S12" s="9"/>
      <c r="U12" s="8" t="s">
        <v>2</v>
      </c>
      <c r="V12" s="44">
        <f>K16</f>
        <v>0.97348484848484862</v>
      </c>
      <c r="W12" s="44">
        <f>L16</f>
        <v>0.98141584278581184</v>
      </c>
      <c r="X12" s="44">
        <f t="shared" ref="X12:Y12" si="1">M16</f>
        <v>0.96536796536796532</v>
      </c>
      <c r="Y12" s="44">
        <f t="shared" si="1"/>
        <v>0.97326553617501832</v>
      </c>
      <c r="AD12" s="8" t="s">
        <v>51</v>
      </c>
      <c r="AE12" s="44">
        <v>0.97348484848484862</v>
      </c>
      <c r="AF12" s="44">
        <v>0.98141584278581184</v>
      </c>
      <c r="AG12" s="44">
        <v>0.96536796536796532</v>
      </c>
      <c r="AH12" s="44">
        <v>0.97326553617501832</v>
      </c>
    </row>
    <row r="13" spans="1:34" x14ac:dyDescent="0.3">
      <c r="A13" s="8"/>
      <c r="B13" s="8"/>
      <c r="C13" s="8"/>
      <c r="D13" s="8"/>
      <c r="E13" s="8"/>
      <c r="F13" s="8"/>
      <c r="G13" s="8"/>
      <c r="H13" s="8"/>
      <c r="I13" s="8"/>
      <c r="J13" s="8">
        <v>0.99350000000000005</v>
      </c>
      <c r="K13" s="44">
        <f>(Table256[[#This Row],[Column14]]+Table256[[#This Row],[Column15]])/(SUM(Table256[[#This Row],[Column14]:[Column17]]))</f>
        <v>0.96753246753246758</v>
      </c>
      <c r="L13" s="44">
        <f>Table256[[#This Row],[Column14]]/(Table256[[#This Row],[Column14]]+Table256[[#This Row],[Column16]])</f>
        <v>0.98</v>
      </c>
      <c r="M13" s="44">
        <f>Table256[[#This Row],[Column14]]/(Table256[[#This Row],[Column14]]+Table256[[#This Row],[Column17]])</f>
        <v>0.95454545454545459</v>
      </c>
      <c r="N13" s="44">
        <f>(2*Table256[[#This Row],[Column11]]*Table256[[#This Row],[Column12]])/(Table256[[#This Row],[Column11]]+Table256[[#This Row],[Column12]])</f>
        <v>0.96710526315789469</v>
      </c>
      <c r="O13" s="8">
        <v>147</v>
      </c>
      <c r="P13" s="8">
        <v>151</v>
      </c>
      <c r="Q13" s="8">
        <v>3</v>
      </c>
      <c r="R13" s="8">
        <v>7</v>
      </c>
      <c r="S13" s="9"/>
      <c r="U13" s="8" t="s">
        <v>3</v>
      </c>
      <c r="V13" s="44">
        <f>K24</f>
        <v>0.92261904761904778</v>
      </c>
      <c r="W13" s="44">
        <f>L24</f>
        <v>0.92636070504710644</v>
      </c>
      <c r="X13" s="44">
        <f t="shared" ref="X13:Y13" si="2">M24</f>
        <v>0.91991341991341991</v>
      </c>
      <c r="Y13" s="44">
        <f t="shared" si="2"/>
        <v>0.92249263761417855</v>
      </c>
      <c r="AD13" s="8" t="s">
        <v>52</v>
      </c>
      <c r="AE13" s="44">
        <v>0.92261904761904778</v>
      </c>
      <c r="AF13" s="44">
        <v>0.92636070504710644</v>
      </c>
      <c r="AG13" s="44">
        <v>0.91991341991341991</v>
      </c>
      <c r="AH13" s="44">
        <v>0.92249263761417855</v>
      </c>
    </row>
    <row r="14" spans="1:34" x14ac:dyDescent="0.3">
      <c r="A14" s="8"/>
      <c r="B14" s="8"/>
      <c r="C14" s="8"/>
      <c r="D14" s="8"/>
      <c r="E14" s="8"/>
      <c r="F14" s="8"/>
      <c r="G14" s="8"/>
      <c r="H14" s="8"/>
      <c r="I14" s="8"/>
      <c r="J14" s="8">
        <v>0.9919</v>
      </c>
      <c r="K14" s="44">
        <f>(Table256[[#This Row],[Column14]]+Table256[[#This Row],[Column15]])/(SUM(Table256[[#This Row],[Column14]:[Column17]]))</f>
        <v>0.97402597402597402</v>
      </c>
      <c r="L14" s="44">
        <f>Table256[[#This Row],[Column14]]/(Table256[[#This Row],[Column14]]+Table256[[#This Row],[Column16]])</f>
        <v>0.98026315789473684</v>
      </c>
      <c r="M14" s="44">
        <f>Table256[[#This Row],[Column14]]/(Table256[[#This Row],[Column14]]+Table256[[#This Row],[Column17]])</f>
        <v>0.96753246753246758</v>
      </c>
      <c r="N14" s="44">
        <f>(2*Table256[[#This Row],[Column11]]*Table256[[#This Row],[Column12]])/(Table256[[#This Row],[Column11]]+Table256[[#This Row],[Column12]])</f>
        <v>0.97385620915032678</v>
      </c>
      <c r="O14" s="8">
        <v>149</v>
      </c>
      <c r="P14" s="8">
        <v>151</v>
      </c>
      <c r="Q14" s="8">
        <v>3</v>
      </c>
      <c r="R14" s="8">
        <v>5</v>
      </c>
      <c r="S14" s="9"/>
      <c r="U14" s="8" t="s">
        <v>4</v>
      </c>
      <c r="V14" s="44">
        <f>K32</f>
        <v>0.91883116883116889</v>
      </c>
      <c r="W14" s="44">
        <f>L32</f>
        <v>0.93874213254350247</v>
      </c>
      <c r="X14" s="44">
        <f t="shared" ref="X14:Y14" si="3">M32</f>
        <v>0.89610389610389607</v>
      </c>
      <c r="Y14" s="44">
        <f t="shared" si="3"/>
        <v>0.91686044655915822</v>
      </c>
      <c r="AD14" s="13"/>
      <c r="AE14" s="45"/>
      <c r="AF14" s="45"/>
      <c r="AG14" s="45"/>
      <c r="AH14" s="45"/>
    </row>
    <row r="15" spans="1:34" x14ac:dyDescent="0.3">
      <c r="A15" s="8"/>
      <c r="B15" s="8"/>
      <c r="C15" s="8"/>
      <c r="D15" s="8"/>
      <c r="E15" s="8"/>
      <c r="F15" s="8"/>
      <c r="G15" s="8"/>
      <c r="H15" s="8"/>
      <c r="I15" s="8"/>
      <c r="J15" s="8">
        <v>0.99350000000000005</v>
      </c>
      <c r="K15" s="44">
        <f>(Table256[[#This Row],[Column14]]+Table256[[#This Row],[Column15]])/(SUM(Table256[[#This Row],[Column14]:[Column17]]))</f>
        <v>0.97727272727272729</v>
      </c>
      <c r="L15" s="44">
        <f>Table256[[#This Row],[Column14]]/(Table256[[#This Row],[Column14]]+Table256[[#This Row],[Column16]])</f>
        <v>0.98039215686274506</v>
      </c>
      <c r="M15" s="44">
        <f>Table256[[#This Row],[Column14]]/(Table256[[#This Row],[Column14]]+Table256[[#This Row],[Column17]])</f>
        <v>0.97402597402597402</v>
      </c>
      <c r="N15" s="44">
        <f>(2*Table256[[#This Row],[Column11]]*Table256[[#This Row],[Column12]])/(Table256[[#This Row],[Column11]]+Table256[[#This Row],[Column12]])</f>
        <v>0.97719869706840401</v>
      </c>
      <c r="O15" s="8">
        <v>150</v>
      </c>
      <c r="P15" s="8">
        <v>151</v>
      </c>
      <c r="Q15" s="8">
        <v>3</v>
      </c>
      <c r="R15" s="8">
        <v>4</v>
      </c>
      <c r="S15" s="9"/>
      <c r="U15" s="8" t="s">
        <v>5</v>
      </c>
      <c r="V15" s="44">
        <f>K40</f>
        <v>0.86958874458874458</v>
      </c>
      <c r="W15" s="44">
        <f>L40</f>
        <v>0.8814023403051312</v>
      </c>
      <c r="X15" s="44">
        <f t="shared" ref="X15:Y15" si="4">M40</f>
        <v>0.85714285714285721</v>
      </c>
      <c r="Y15" s="44">
        <f t="shared" si="4"/>
        <v>0.86788634160601985</v>
      </c>
      <c r="AD15" s="3" t="s">
        <v>19</v>
      </c>
      <c r="AE15" s="3" t="s">
        <v>10</v>
      </c>
      <c r="AF15" s="3" t="s">
        <v>11</v>
      </c>
      <c r="AG15" s="3" t="s">
        <v>18</v>
      </c>
      <c r="AH15" s="3" t="s">
        <v>49</v>
      </c>
    </row>
    <row r="16" spans="1:34" x14ac:dyDescent="0.3">
      <c r="A16" s="7"/>
      <c r="B16" s="8"/>
      <c r="C16" s="8"/>
      <c r="D16" s="8"/>
      <c r="E16" s="8"/>
      <c r="F16" s="8"/>
      <c r="G16" s="8"/>
      <c r="H16" s="8"/>
      <c r="I16" s="8"/>
      <c r="J16" s="43"/>
      <c r="K16" s="46">
        <f>AVERAGE(K10:K15)</f>
        <v>0.97348484848484862</v>
      </c>
      <c r="L16" s="46">
        <f t="shared" ref="L16:N16" si="5">AVERAGE(L10:L15)</f>
        <v>0.98141584278581184</v>
      </c>
      <c r="M16" s="46">
        <f t="shared" si="5"/>
        <v>0.96536796536796532</v>
      </c>
      <c r="N16" s="46">
        <f t="shared" si="5"/>
        <v>0.97326553617501832</v>
      </c>
      <c r="O16" s="8"/>
      <c r="P16" s="8"/>
      <c r="Q16" s="8"/>
      <c r="R16" s="8"/>
      <c r="S16" s="9"/>
      <c r="U16" s="8" t="s">
        <v>6</v>
      </c>
      <c r="V16" s="44">
        <f>K48</f>
        <v>0.80086580086580084</v>
      </c>
      <c r="W16" s="44">
        <f>L48</f>
        <v>0.8413349892098223</v>
      </c>
      <c r="X16" s="44">
        <f t="shared" ref="X16:Y16" si="6">M48</f>
        <v>0.74350649350649345</v>
      </c>
      <c r="Y16" s="44">
        <f t="shared" si="6"/>
        <v>0.78850927597466158</v>
      </c>
      <c r="AD16" s="8" t="s">
        <v>53</v>
      </c>
      <c r="AE16" s="44">
        <v>0.97348484848484862</v>
      </c>
      <c r="AF16" s="44">
        <v>0.98141584278581184</v>
      </c>
      <c r="AG16" s="44">
        <v>0.96536796536796532</v>
      </c>
      <c r="AH16" s="44">
        <v>0.97326553617501832</v>
      </c>
    </row>
    <row r="17" spans="1:34" x14ac:dyDescent="0.3">
      <c r="E17"/>
      <c r="F17"/>
      <c r="G17"/>
      <c r="I17"/>
      <c r="R17"/>
      <c r="U17" s="8" t="s">
        <v>7</v>
      </c>
      <c r="V17" s="44">
        <f>K56</f>
        <v>0.63744588744588748</v>
      </c>
      <c r="W17" s="44">
        <f>L56</f>
        <v>0.68558473799175201</v>
      </c>
      <c r="X17" s="44">
        <f t="shared" ref="X17:Y17" si="7">M56</f>
        <v>0.52380952380952384</v>
      </c>
      <c r="Y17" s="44">
        <f t="shared" si="7"/>
        <v>0.58735782803497261</v>
      </c>
      <c r="AD17" s="8" t="s">
        <v>54</v>
      </c>
      <c r="AE17" s="44">
        <v>0.918831168831169</v>
      </c>
      <c r="AF17" s="44">
        <v>0.93874213254350247</v>
      </c>
      <c r="AG17" s="44">
        <v>0.89610389610389607</v>
      </c>
      <c r="AH17" s="44">
        <v>0.91686044655915822</v>
      </c>
    </row>
    <row r="18" spans="1:34" x14ac:dyDescent="0.3">
      <c r="A18" s="8" t="s">
        <v>3</v>
      </c>
      <c r="B18" s="8" t="s">
        <v>15</v>
      </c>
      <c r="C18" s="8">
        <v>10</v>
      </c>
      <c r="D18" s="8">
        <v>64</v>
      </c>
      <c r="E18" s="8">
        <v>100</v>
      </c>
      <c r="F18" s="8" t="s">
        <v>45</v>
      </c>
      <c r="G18" s="8" t="s">
        <v>44</v>
      </c>
      <c r="H18" s="8" t="s">
        <v>25</v>
      </c>
      <c r="I18" s="8">
        <v>0.1</v>
      </c>
      <c r="J18" s="8">
        <v>0.99109999999999998</v>
      </c>
      <c r="K18" s="44">
        <f>(Table2567[[#This Row],[Column14]]+Table2567[[#This Row],[Column15]])/(SUM(Table2567[[#This Row],[Column14]:[Column17]]))</f>
        <v>0.9285714285714286</v>
      </c>
      <c r="L18" s="44">
        <f>Table2567[[#This Row],[Column14]]/(Table2567[[#This Row],[Column14]]+Table2567[[#This Row],[Column16]])</f>
        <v>0.94594594594594594</v>
      </c>
      <c r="M18" s="44">
        <f>Table2567[[#This Row],[Column14]]/(Table2567[[#This Row],[Column14]]+Table2567[[#This Row],[Column17]])</f>
        <v>0.90909090909090906</v>
      </c>
      <c r="N18" s="44">
        <f>(2*Table2567[[#This Row],[Column11]]*Table2567[[#This Row],[Column12]])/(Table2567[[#This Row],[Column11]]+Table2567[[#This Row],[Column12]])</f>
        <v>0.92715231788079477</v>
      </c>
      <c r="O18" s="8">
        <v>140</v>
      </c>
      <c r="P18" s="8">
        <v>146</v>
      </c>
      <c r="Q18" s="8">
        <v>8</v>
      </c>
      <c r="R18" s="8">
        <v>14</v>
      </c>
      <c r="S18" s="8"/>
      <c r="AD18" s="8" t="s">
        <v>55</v>
      </c>
      <c r="AE18" s="44">
        <v>0.86958874458874458</v>
      </c>
      <c r="AF18" s="44">
        <v>0.8814023403051312</v>
      </c>
      <c r="AG18" s="44">
        <v>0.85714285714285721</v>
      </c>
      <c r="AH18" s="44">
        <v>0.86788634160601985</v>
      </c>
    </row>
    <row r="19" spans="1:34" x14ac:dyDescent="0.3">
      <c r="A19" s="8"/>
      <c r="B19" s="8"/>
      <c r="C19" s="8"/>
      <c r="D19" s="8"/>
      <c r="E19" s="8"/>
      <c r="F19" s="8"/>
      <c r="G19" s="8"/>
      <c r="H19" s="8"/>
      <c r="I19" s="8"/>
      <c r="J19" s="6">
        <v>0.98209999999999997</v>
      </c>
      <c r="K19" s="44">
        <f>(Table2567[[#This Row],[Column14]]+Table2567[[#This Row],[Column15]])/(SUM(Table2567[[#This Row],[Column14]:[Column17]]))</f>
        <v>0.91883116883116878</v>
      </c>
      <c r="L19" s="44">
        <f>Table2567[[#This Row],[Column14]]/(Table2567[[#This Row],[Column14]]+Table2567[[#This Row],[Column16]])</f>
        <v>0.89090909090909087</v>
      </c>
      <c r="M19" s="44">
        <f>Table2567[[#This Row],[Column14]]/(Table2567[[#This Row],[Column14]]+Table2567[[#This Row],[Column17]])</f>
        <v>0.95454545454545459</v>
      </c>
      <c r="N19" s="44">
        <f>(2*Table2567[[#This Row],[Column11]]*Table2567[[#This Row],[Column12]])/(Table2567[[#This Row],[Column11]]+Table2567[[#This Row],[Column12]])</f>
        <v>0.92163009404388707</v>
      </c>
      <c r="O19" s="6">
        <v>147</v>
      </c>
      <c r="P19" s="6">
        <v>136</v>
      </c>
      <c r="Q19" s="6">
        <v>18</v>
      </c>
      <c r="R19" s="6">
        <v>7</v>
      </c>
      <c r="S19" s="5"/>
    </row>
    <row r="20" spans="1:34" x14ac:dyDescent="0.3">
      <c r="A20" s="8"/>
      <c r="B20" s="8"/>
      <c r="C20" s="8"/>
      <c r="D20" s="8"/>
      <c r="E20" s="8"/>
      <c r="F20" s="8"/>
      <c r="G20" s="8"/>
      <c r="H20" s="8"/>
      <c r="I20" s="8"/>
      <c r="J20" s="8">
        <v>0.98619999999999997</v>
      </c>
      <c r="K20" s="44">
        <f>(Table2567[[#This Row],[Column14]]+Table2567[[#This Row],[Column15]])/(SUM(Table2567[[#This Row],[Column14]:[Column17]]))</f>
        <v>0.9285714285714286</v>
      </c>
      <c r="L20" s="44">
        <f>Table2567[[#This Row],[Column14]]/(Table2567[[#This Row],[Column14]]+Table2567[[#This Row],[Column16]])</f>
        <v>0.9285714285714286</v>
      </c>
      <c r="M20" s="44">
        <f>Table2567[[#This Row],[Column14]]/(Table2567[[#This Row],[Column14]]+Table2567[[#This Row],[Column17]])</f>
        <v>0.9285714285714286</v>
      </c>
      <c r="N20" s="44">
        <f>(2*Table2567[[#This Row],[Column11]]*Table2567[[#This Row],[Column12]])/(Table2567[[#This Row],[Column11]]+Table2567[[#This Row],[Column12]])</f>
        <v>0.9285714285714286</v>
      </c>
      <c r="O20" s="8">
        <v>143</v>
      </c>
      <c r="P20" s="8">
        <v>143</v>
      </c>
      <c r="Q20" s="8">
        <v>11</v>
      </c>
      <c r="R20" s="8">
        <v>11</v>
      </c>
      <c r="S20" s="9"/>
      <c r="AD20" s="3" t="s">
        <v>19</v>
      </c>
      <c r="AE20" s="3" t="s">
        <v>10</v>
      </c>
      <c r="AF20" s="3" t="s">
        <v>11</v>
      </c>
      <c r="AG20" s="3" t="s">
        <v>18</v>
      </c>
      <c r="AH20" s="3" t="s">
        <v>49</v>
      </c>
    </row>
    <row r="21" spans="1:34" x14ac:dyDescent="0.3">
      <c r="A21" s="8"/>
      <c r="B21" s="8"/>
      <c r="C21" s="8"/>
      <c r="D21" s="8"/>
      <c r="E21" s="8"/>
      <c r="F21" s="8"/>
      <c r="G21" s="8"/>
      <c r="H21" s="8"/>
      <c r="I21" s="8"/>
      <c r="J21" s="8">
        <v>0.99350000000000005</v>
      </c>
      <c r="K21" s="44">
        <f>(Table2567[[#This Row],[Column14]]+Table2567[[#This Row],[Column15]])/(SUM(Table2567[[#This Row],[Column14]:[Column17]]))</f>
        <v>0.9285714285714286</v>
      </c>
      <c r="L21" s="44">
        <f>Table2567[[#This Row],[Column14]]/(Table2567[[#This Row],[Column14]]+Table2567[[#This Row],[Column16]])</f>
        <v>0.94</v>
      </c>
      <c r="M21" s="44">
        <f>Table2567[[#This Row],[Column14]]/(Table2567[[#This Row],[Column14]]+Table2567[[#This Row],[Column17]])</f>
        <v>0.91558441558441561</v>
      </c>
      <c r="N21" s="44">
        <f>(2*Table2567[[#This Row],[Column11]]*Table2567[[#This Row],[Column12]])/(Table2567[[#This Row],[Column11]]+Table2567[[#This Row],[Column12]])</f>
        <v>0.92763157894736836</v>
      </c>
      <c r="O21" s="8">
        <v>141</v>
      </c>
      <c r="P21" s="8">
        <v>145</v>
      </c>
      <c r="Q21" s="8">
        <v>9</v>
      </c>
      <c r="R21" s="8">
        <v>13</v>
      </c>
      <c r="S21" s="9"/>
      <c r="AD21" s="8" t="s">
        <v>56</v>
      </c>
      <c r="AE21" s="44">
        <v>0.92261904761904778</v>
      </c>
      <c r="AF21" s="44">
        <v>0.92636070504710644</v>
      </c>
      <c r="AG21" s="44">
        <v>0.91991341991341991</v>
      </c>
      <c r="AH21" s="44">
        <v>0.92249263761417855</v>
      </c>
    </row>
    <row r="22" spans="1:34" x14ac:dyDescent="0.3">
      <c r="A22" s="8"/>
      <c r="B22" s="8"/>
      <c r="C22" s="8"/>
      <c r="D22" s="8"/>
      <c r="E22" s="8"/>
      <c r="F22" s="8"/>
      <c r="G22" s="8"/>
      <c r="H22" s="8"/>
      <c r="I22" s="8"/>
      <c r="J22" s="8">
        <v>0.98129999999999995</v>
      </c>
      <c r="K22" s="44">
        <f>(Table2567[[#This Row],[Column14]]+Table2567[[#This Row],[Column15]])/(SUM(Table2567[[#This Row],[Column14]:[Column17]]))</f>
        <v>0.92532467532467533</v>
      </c>
      <c r="L22" s="44">
        <f>Table2567[[#This Row],[Column14]]/(Table2567[[#This Row],[Column14]]+Table2567[[#This Row],[Column16]])</f>
        <v>0.96453900709219853</v>
      </c>
      <c r="M22" s="44">
        <f>Table2567[[#This Row],[Column14]]/(Table2567[[#This Row],[Column14]]+Table2567[[#This Row],[Column17]])</f>
        <v>0.88311688311688308</v>
      </c>
      <c r="N22" s="44">
        <f>(2*Table2567[[#This Row],[Column11]]*Table2567[[#This Row],[Column12]])/(Table2567[[#This Row],[Column11]]+Table2567[[#This Row],[Column12]])</f>
        <v>0.92203389830508475</v>
      </c>
      <c r="O22" s="8">
        <v>136</v>
      </c>
      <c r="P22" s="8">
        <v>149</v>
      </c>
      <c r="Q22" s="8">
        <v>5</v>
      </c>
      <c r="R22" s="8">
        <v>18</v>
      </c>
      <c r="S22" s="9"/>
      <c r="AD22" s="8" t="s">
        <v>57</v>
      </c>
      <c r="AE22" s="44">
        <v>0.80086580086580084</v>
      </c>
      <c r="AF22" s="44">
        <v>0.8413349892098223</v>
      </c>
      <c r="AG22" s="44">
        <v>0.74350649350649345</v>
      </c>
      <c r="AH22" s="44">
        <v>0.78850927597466158</v>
      </c>
    </row>
    <row r="23" spans="1:34" x14ac:dyDescent="0.3">
      <c r="A23" s="8"/>
      <c r="B23" s="8"/>
      <c r="C23" s="8"/>
      <c r="D23" s="8"/>
      <c r="E23" s="8"/>
      <c r="F23" s="8"/>
      <c r="G23" s="8"/>
      <c r="H23" s="8"/>
      <c r="I23" s="8"/>
      <c r="J23" s="8">
        <v>0.9748</v>
      </c>
      <c r="K23" s="44">
        <f>(Table2567[[#This Row],[Column14]]+Table2567[[#This Row],[Column15]])/(SUM(Table2567[[#This Row],[Column14]:[Column17]]))</f>
        <v>0.9058441558441559</v>
      </c>
      <c r="L23" s="44">
        <f>Table2567[[#This Row],[Column14]]/(Table2567[[#This Row],[Column14]]+Table2567[[#This Row],[Column16]])</f>
        <v>0.88819875776397517</v>
      </c>
      <c r="M23" s="44">
        <f>Table2567[[#This Row],[Column14]]/(Table2567[[#This Row],[Column14]]+Table2567[[#This Row],[Column17]])</f>
        <v>0.9285714285714286</v>
      </c>
      <c r="N23" s="44">
        <f>(2*Table2567[[#This Row],[Column11]]*Table2567[[#This Row],[Column12]])/(Table2567[[#This Row],[Column11]]+Table2567[[#This Row],[Column12]])</f>
        <v>0.90793650793650793</v>
      </c>
      <c r="O23" s="8">
        <v>143</v>
      </c>
      <c r="P23" s="8">
        <v>136</v>
      </c>
      <c r="Q23" s="8">
        <v>18</v>
      </c>
      <c r="R23" s="8">
        <v>11</v>
      </c>
      <c r="S23" s="9"/>
      <c r="AD23" s="8" t="s">
        <v>58</v>
      </c>
      <c r="AE23" s="44">
        <v>0.63744588744588748</v>
      </c>
      <c r="AF23" s="44">
        <v>0.68558473799175201</v>
      </c>
      <c r="AG23" s="44">
        <v>0.52380952380952384</v>
      </c>
      <c r="AH23" s="44">
        <v>0.58735782803497261</v>
      </c>
    </row>
    <row r="24" spans="1:34" x14ac:dyDescent="0.3">
      <c r="A24" s="7"/>
      <c r="B24" s="8"/>
      <c r="C24" s="8"/>
      <c r="D24" s="8"/>
      <c r="E24" s="8"/>
      <c r="F24" s="8"/>
      <c r="G24" s="8"/>
      <c r="H24" s="8"/>
      <c r="I24" s="8"/>
      <c r="J24" s="43"/>
      <c r="K24" s="46">
        <f>AVERAGE(K18:K23)</f>
        <v>0.92261904761904778</v>
      </c>
      <c r="L24" s="46">
        <f t="shared" ref="L24:N24" si="8">AVERAGE(L18:L23)</f>
        <v>0.92636070504710644</v>
      </c>
      <c r="M24" s="46">
        <f t="shared" si="8"/>
        <v>0.91991341991341991</v>
      </c>
      <c r="N24" s="46">
        <f t="shared" si="8"/>
        <v>0.92249263761417855</v>
      </c>
      <c r="O24" s="8"/>
      <c r="P24" s="8"/>
      <c r="Q24" s="8"/>
      <c r="R24" s="8"/>
      <c r="S24" s="9"/>
    </row>
    <row r="26" spans="1:34" x14ac:dyDescent="0.3">
      <c r="A26" s="8" t="s">
        <v>4</v>
      </c>
      <c r="B26" s="8" t="s">
        <v>15</v>
      </c>
      <c r="C26" s="8">
        <v>10</v>
      </c>
      <c r="D26" s="8">
        <v>64</v>
      </c>
      <c r="E26" s="8">
        <v>100</v>
      </c>
      <c r="F26" s="8" t="s">
        <v>45</v>
      </c>
      <c r="G26" s="8" t="s">
        <v>44</v>
      </c>
      <c r="H26" s="8" t="s">
        <v>25</v>
      </c>
      <c r="I26" s="8">
        <v>0.1</v>
      </c>
      <c r="J26" s="8">
        <v>0.98619999999999997</v>
      </c>
      <c r="K26" s="44">
        <f>(Table25678[[#This Row],[Column14]]+Table25678[[#This Row],[Column15]])/(SUM(Table25678[[#This Row],[Column14]:[Column17]]))</f>
        <v>0.94155844155844159</v>
      </c>
      <c r="L26" s="44">
        <f>Table25678[[#This Row],[Column14]]/(Table25678[[#This Row],[Column14]]+Table25678[[#This Row],[Column16]])</f>
        <v>0.95333333333333337</v>
      </c>
      <c r="M26" s="44">
        <f>Table25678[[#This Row],[Column14]]/(Table25678[[#This Row],[Column14]]+Table25678[[#This Row],[Column17]])</f>
        <v>0.9285714285714286</v>
      </c>
      <c r="N26" s="44">
        <f>(2*Table25678[[#This Row],[Column11]]*Table25678[[#This Row],[Column12]])/(Table25678[[#This Row],[Column11]]+Table25678[[#This Row],[Column12]])</f>
        <v>0.94078947368421051</v>
      </c>
      <c r="O26" s="8">
        <v>143</v>
      </c>
      <c r="P26" s="8">
        <v>147</v>
      </c>
      <c r="Q26" s="8">
        <v>7</v>
      </c>
      <c r="R26" s="8">
        <v>11</v>
      </c>
      <c r="S26" s="8"/>
    </row>
    <row r="27" spans="1:34" x14ac:dyDescent="0.3">
      <c r="A27" s="8"/>
      <c r="B27" s="8"/>
      <c r="C27" s="8"/>
      <c r="D27" s="8"/>
      <c r="E27" s="8"/>
      <c r="F27" s="8"/>
      <c r="G27" s="8"/>
      <c r="H27" s="8"/>
      <c r="I27" s="8"/>
      <c r="J27" s="6">
        <v>0.99270000000000003</v>
      </c>
      <c r="K27" s="44">
        <f>(Table25678[[#This Row],[Column14]]+Table25678[[#This Row],[Column15]])/(SUM(Table25678[[#This Row],[Column14]:[Column17]]))</f>
        <v>0.9285714285714286</v>
      </c>
      <c r="L27" s="44">
        <f>Table25678[[#This Row],[Column14]]/(Table25678[[#This Row],[Column14]]+Table25678[[#This Row],[Column16]])</f>
        <v>0.94594594594594594</v>
      </c>
      <c r="M27" s="44">
        <f>Table25678[[#This Row],[Column14]]/(Table25678[[#This Row],[Column14]]+Table25678[[#This Row],[Column17]])</f>
        <v>0.90909090909090906</v>
      </c>
      <c r="N27" s="44">
        <f>(2*Table25678[[#This Row],[Column11]]*Table25678[[#This Row],[Column12]])/(Table25678[[#This Row],[Column11]]+Table25678[[#This Row],[Column12]])</f>
        <v>0.92715231788079477</v>
      </c>
      <c r="O27" s="6">
        <v>140</v>
      </c>
      <c r="P27" s="6">
        <v>146</v>
      </c>
      <c r="Q27" s="6">
        <v>8</v>
      </c>
      <c r="R27" s="6">
        <v>14</v>
      </c>
      <c r="S27" s="5"/>
    </row>
    <row r="28" spans="1:34" x14ac:dyDescent="0.3">
      <c r="A28" s="8"/>
      <c r="B28" s="8"/>
      <c r="C28" s="8"/>
      <c r="D28" s="8"/>
      <c r="E28" s="8"/>
      <c r="F28" s="8"/>
      <c r="G28" s="8"/>
      <c r="H28" s="8"/>
      <c r="I28" s="8"/>
      <c r="J28" s="8">
        <v>0.98860000000000003</v>
      </c>
      <c r="K28" s="44">
        <f>(Table25678[[#This Row],[Column14]]+Table25678[[#This Row],[Column15]])/(SUM(Table25678[[#This Row],[Column14]:[Column17]]))</f>
        <v>0.90259740259740262</v>
      </c>
      <c r="L28" s="44">
        <f>Table25678[[#This Row],[Column14]]/(Table25678[[#This Row],[Column14]]+Table25678[[#This Row],[Column16]])</f>
        <v>0.93055555555555558</v>
      </c>
      <c r="M28" s="44">
        <f>Table25678[[#This Row],[Column14]]/(Table25678[[#This Row],[Column14]]+Table25678[[#This Row],[Column17]])</f>
        <v>0.87012987012987009</v>
      </c>
      <c r="N28" s="44">
        <f>(2*Table25678[[#This Row],[Column11]]*Table25678[[#This Row],[Column12]])/(Table25678[[#This Row],[Column11]]+Table25678[[#This Row],[Column12]])</f>
        <v>0.89932885906040272</v>
      </c>
      <c r="O28" s="8">
        <v>134</v>
      </c>
      <c r="P28" s="8">
        <v>144</v>
      </c>
      <c r="Q28" s="8">
        <v>10</v>
      </c>
      <c r="R28" s="8">
        <v>20</v>
      </c>
      <c r="S28" s="9"/>
    </row>
    <row r="29" spans="1:34" x14ac:dyDescent="0.3">
      <c r="A29" s="8"/>
      <c r="B29" s="8"/>
      <c r="C29" s="8"/>
      <c r="D29" s="8"/>
      <c r="E29" s="8"/>
      <c r="F29" s="8"/>
      <c r="G29" s="8"/>
      <c r="H29" s="8"/>
      <c r="I29" s="8"/>
      <c r="J29" s="8">
        <v>0.99029999999999996</v>
      </c>
      <c r="K29" s="44">
        <f>(Table25678[[#This Row],[Column14]]+Table25678[[#This Row],[Column15]])/(SUM(Table25678[[#This Row],[Column14]:[Column17]]))</f>
        <v>0.91558441558441561</v>
      </c>
      <c r="L29" s="44">
        <f>Table25678[[#This Row],[Column14]]/(Table25678[[#This Row],[Column14]]+Table25678[[#This Row],[Column16]])</f>
        <v>0.92666666666666664</v>
      </c>
      <c r="M29" s="44">
        <f>Table25678[[#This Row],[Column14]]/(Table25678[[#This Row],[Column14]]+Table25678[[#This Row],[Column17]])</f>
        <v>0.90259740259740262</v>
      </c>
      <c r="N29" s="44">
        <f>(2*Table25678[[#This Row],[Column11]]*Table25678[[#This Row],[Column12]])/(Table25678[[#This Row],[Column11]]+Table25678[[#This Row],[Column12]])</f>
        <v>0.91447368421052622</v>
      </c>
      <c r="O29" s="8">
        <v>139</v>
      </c>
      <c r="P29" s="8">
        <v>143</v>
      </c>
      <c r="Q29" s="8">
        <v>11</v>
      </c>
      <c r="R29" s="8">
        <v>15</v>
      </c>
      <c r="S29" s="9"/>
    </row>
    <row r="30" spans="1:34" x14ac:dyDescent="0.3">
      <c r="A30" s="8"/>
      <c r="B30" s="8"/>
      <c r="C30" s="8"/>
      <c r="D30" s="8"/>
      <c r="E30" s="8"/>
      <c r="F30" s="8"/>
      <c r="G30" s="8"/>
      <c r="H30" s="8"/>
      <c r="I30" s="8"/>
      <c r="J30" s="8">
        <v>0.99270000000000003</v>
      </c>
      <c r="K30" s="44">
        <f>(Table25678[[#This Row],[Column14]]+Table25678[[#This Row],[Column15]])/(SUM(Table25678[[#This Row],[Column14]:[Column17]]))</f>
        <v>0.91558441558441561</v>
      </c>
      <c r="L30" s="44">
        <f>Table25678[[#This Row],[Column14]]/(Table25678[[#This Row],[Column14]]+Table25678[[#This Row],[Column16]])</f>
        <v>0.94444444444444442</v>
      </c>
      <c r="M30" s="44">
        <f>Table25678[[#This Row],[Column14]]/(Table25678[[#This Row],[Column14]]+Table25678[[#This Row],[Column17]])</f>
        <v>0.88311688311688308</v>
      </c>
      <c r="N30" s="44">
        <f>(2*Table25678[[#This Row],[Column11]]*Table25678[[#This Row],[Column12]])/(Table25678[[#This Row],[Column11]]+Table25678[[#This Row],[Column12]])</f>
        <v>0.91275167785234901</v>
      </c>
      <c r="O30" s="8">
        <v>136</v>
      </c>
      <c r="P30" s="8">
        <v>146</v>
      </c>
      <c r="Q30" s="8">
        <v>8</v>
      </c>
      <c r="R30" s="8">
        <v>18</v>
      </c>
      <c r="S30" s="9"/>
    </row>
    <row r="31" spans="1:34" x14ac:dyDescent="0.3">
      <c r="A31" s="8"/>
      <c r="B31" s="8"/>
      <c r="C31" s="8"/>
      <c r="D31" s="8"/>
      <c r="E31" s="8"/>
      <c r="F31" s="8"/>
      <c r="G31" s="8"/>
      <c r="H31" s="8"/>
      <c r="I31" s="8"/>
      <c r="J31" s="8">
        <v>0.99029999999999996</v>
      </c>
      <c r="K31" s="44">
        <f>(Table25678[[#This Row],[Column14]]+Table25678[[#This Row],[Column15]])/(SUM(Table25678[[#This Row],[Column14]:[Column17]]))</f>
        <v>0.90909090909090906</v>
      </c>
      <c r="L31" s="44">
        <f>Table25678[[#This Row],[Column14]]/(Table25678[[#This Row],[Column14]]+Table25678[[#This Row],[Column16]])</f>
        <v>0.93150684931506844</v>
      </c>
      <c r="M31" s="44">
        <f>Table25678[[#This Row],[Column14]]/(Table25678[[#This Row],[Column14]]+Table25678[[#This Row],[Column17]])</f>
        <v>0.88311688311688308</v>
      </c>
      <c r="N31" s="44">
        <f>(2*Table25678[[#This Row],[Column11]]*Table25678[[#This Row],[Column12]])/(Table25678[[#This Row],[Column11]]+Table25678[[#This Row],[Column12]])</f>
        <v>0.90666666666666651</v>
      </c>
      <c r="O31" s="8">
        <v>136</v>
      </c>
      <c r="P31" s="8">
        <v>144</v>
      </c>
      <c r="Q31" s="8">
        <v>10</v>
      </c>
      <c r="R31" s="8">
        <v>18</v>
      </c>
      <c r="S31" s="9"/>
    </row>
    <row r="32" spans="1:34" x14ac:dyDescent="0.3">
      <c r="A32" s="7"/>
      <c r="B32" s="8"/>
      <c r="C32" s="8"/>
      <c r="D32" s="8"/>
      <c r="E32" s="8"/>
      <c r="F32" s="8"/>
      <c r="G32" s="8"/>
      <c r="H32" s="8"/>
      <c r="I32" s="8"/>
      <c r="J32" s="43"/>
      <c r="K32" s="46">
        <f>AVERAGE(K26:K31)</f>
        <v>0.91883116883116889</v>
      </c>
      <c r="L32" s="46">
        <f t="shared" ref="L32:N32" si="9">AVERAGE(L26:L31)</f>
        <v>0.93874213254350247</v>
      </c>
      <c r="M32" s="46">
        <f t="shared" si="9"/>
        <v>0.89610389610389607</v>
      </c>
      <c r="N32" s="46">
        <f t="shared" si="9"/>
        <v>0.91686044655915822</v>
      </c>
      <c r="O32" s="8"/>
      <c r="P32" s="8"/>
      <c r="Q32" s="8"/>
      <c r="R32" s="8"/>
      <c r="S32" s="9"/>
    </row>
    <row r="34" spans="1:19" x14ac:dyDescent="0.3">
      <c r="A34" s="8" t="s">
        <v>5</v>
      </c>
      <c r="B34" s="8" t="s">
        <v>15</v>
      </c>
      <c r="C34" s="8">
        <v>10</v>
      </c>
      <c r="D34" s="8">
        <v>32</v>
      </c>
      <c r="E34" s="8">
        <v>100</v>
      </c>
      <c r="F34" s="8" t="s">
        <v>45</v>
      </c>
      <c r="G34" s="8" t="s">
        <v>44</v>
      </c>
      <c r="H34" s="8" t="s">
        <v>30</v>
      </c>
      <c r="I34" s="8">
        <v>0.1</v>
      </c>
      <c r="J34" s="8">
        <v>0.9708</v>
      </c>
      <c r="K34" s="44">
        <f>(Table256789[[#This Row],[Column14]]+Table256789[[#This Row],[Column15]])/(SUM(Table256789[[#This Row],[Column14]:[Column17]]))</f>
        <v>0.86363636363636365</v>
      </c>
      <c r="L34" s="44">
        <f>Table256789[[#This Row],[Column14]]/(Table256789[[#This Row],[Column14]]+Table256789[[#This Row],[Column16]])</f>
        <v>0.88356164383561642</v>
      </c>
      <c r="M34" s="44">
        <f>Table256789[[#This Row],[Column14]]/(Table256789[[#This Row],[Column14]]+Table256789[[#This Row],[Column17]])</f>
        <v>0.83766233766233766</v>
      </c>
      <c r="N34" s="44">
        <f>(2*Table256789[[#This Row],[Column11]]*Table256789[[#This Row],[Column12]])/(Table256789[[#This Row],[Column11]]+Table256789[[#This Row],[Column12]])</f>
        <v>0.86</v>
      </c>
      <c r="O34" s="8">
        <v>129</v>
      </c>
      <c r="P34" s="8">
        <v>137</v>
      </c>
      <c r="Q34" s="8">
        <v>17</v>
      </c>
      <c r="R34" s="8">
        <v>25</v>
      </c>
      <c r="S34" s="8"/>
    </row>
    <row r="35" spans="1:19" x14ac:dyDescent="0.3">
      <c r="A35" s="8"/>
      <c r="B35" s="8"/>
      <c r="C35" s="8"/>
      <c r="D35" s="8"/>
      <c r="E35" s="8"/>
      <c r="F35" s="8"/>
      <c r="G35" s="8"/>
      <c r="H35" s="8"/>
      <c r="I35" s="8"/>
      <c r="J35" s="6">
        <v>0.94159999999999999</v>
      </c>
      <c r="K35" s="44">
        <f>(Table256789[[#This Row],[Column14]]+Table256789[[#This Row],[Column15]])/(SUM(Table256789[[#This Row],[Column14]:[Column17]]))</f>
        <v>0.86038961038961037</v>
      </c>
      <c r="L35" s="44">
        <f>Table256789[[#This Row],[Column14]]/(Table256789[[#This Row],[Column14]]+Table256789[[#This Row],[Column16]])</f>
        <v>0.82080924855491333</v>
      </c>
      <c r="M35" s="44">
        <f>Table256789[[#This Row],[Column14]]/(Table256789[[#This Row],[Column14]]+Table256789[[#This Row],[Column17]])</f>
        <v>0.92207792207792205</v>
      </c>
      <c r="N35" s="44">
        <f>(2*Table256789[[#This Row],[Column11]]*Table256789[[#This Row],[Column12]])/(Table256789[[#This Row],[Column11]]+Table256789[[#This Row],[Column12]])</f>
        <v>0.86850152905198774</v>
      </c>
      <c r="O35" s="6">
        <v>142</v>
      </c>
      <c r="P35" s="6">
        <v>123</v>
      </c>
      <c r="Q35" s="6">
        <v>31</v>
      </c>
      <c r="R35" s="6">
        <v>12</v>
      </c>
      <c r="S35" s="5"/>
    </row>
    <row r="36" spans="1:19" x14ac:dyDescent="0.3">
      <c r="A36" s="8"/>
      <c r="B36" s="8"/>
      <c r="C36" s="8"/>
      <c r="D36" s="8"/>
      <c r="E36" s="8"/>
      <c r="F36" s="8"/>
      <c r="G36" s="8"/>
      <c r="H36" s="8"/>
      <c r="I36" s="8"/>
      <c r="J36" s="8">
        <v>0.96099999999999997</v>
      </c>
      <c r="K36" s="44">
        <f>(Table256789[[#This Row],[Column14]]+Table256789[[#This Row],[Column15]])/(SUM(Table256789[[#This Row],[Column14]:[Column17]]))</f>
        <v>0.87337662337662336</v>
      </c>
      <c r="L36" s="44">
        <f>Table256789[[#This Row],[Column14]]/(Table256789[[#This Row],[Column14]]+Table256789[[#This Row],[Column16]])</f>
        <v>0.86624203821656054</v>
      </c>
      <c r="M36" s="44">
        <f>Table256789[[#This Row],[Column14]]/(Table256789[[#This Row],[Column14]]+Table256789[[#This Row],[Column17]])</f>
        <v>0.88311688311688308</v>
      </c>
      <c r="N36" s="44">
        <f>(2*Table256789[[#This Row],[Column11]]*Table256789[[#This Row],[Column12]])/(Table256789[[#This Row],[Column11]]+Table256789[[#This Row],[Column12]])</f>
        <v>0.87459807073954976</v>
      </c>
      <c r="O36" s="8">
        <v>136</v>
      </c>
      <c r="P36" s="8">
        <v>133</v>
      </c>
      <c r="Q36" s="8">
        <v>21</v>
      </c>
      <c r="R36" s="8">
        <v>18</v>
      </c>
      <c r="S36" s="9"/>
    </row>
    <row r="37" spans="1:19" x14ac:dyDescent="0.3">
      <c r="A37" s="8"/>
      <c r="B37" s="8"/>
      <c r="C37" s="8"/>
      <c r="D37" s="8"/>
      <c r="E37" s="8"/>
      <c r="F37" s="8"/>
      <c r="G37" s="8"/>
      <c r="H37" s="8"/>
      <c r="I37" s="8"/>
      <c r="J37" s="8">
        <v>0.97319999999999995</v>
      </c>
      <c r="K37" s="44">
        <f>(Table256789[[#This Row],[Column14]]+Table256789[[#This Row],[Column15]])/(SUM(Table256789[[#This Row],[Column14]:[Column17]]))</f>
        <v>0.88311688311688308</v>
      </c>
      <c r="L37" s="44">
        <f>Table256789[[#This Row],[Column14]]/(Table256789[[#This Row],[Column14]]+Table256789[[#This Row],[Column16]])</f>
        <v>0.91549295774647887</v>
      </c>
      <c r="M37" s="44">
        <f>Table256789[[#This Row],[Column14]]/(Table256789[[#This Row],[Column14]]+Table256789[[#This Row],[Column17]])</f>
        <v>0.8441558441558441</v>
      </c>
      <c r="N37" s="44">
        <f>(2*Table256789[[#This Row],[Column11]]*Table256789[[#This Row],[Column12]])/(Table256789[[#This Row],[Column11]]+Table256789[[#This Row],[Column12]])</f>
        <v>0.8783783783783784</v>
      </c>
      <c r="O37" s="8">
        <v>130</v>
      </c>
      <c r="P37" s="8">
        <v>142</v>
      </c>
      <c r="Q37" s="8">
        <v>12</v>
      </c>
      <c r="R37" s="8">
        <v>24</v>
      </c>
      <c r="S37" s="9"/>
    </row>
    <row r="38" spans="1:19" x14ac:dyDescent="0.3">
      <c r="A38" s="8"/>
      <c r="B38" s="8"/>
      <c r="C38" s="8"/>
      <c r="D38" s="8"/>
      <c r="E38" s="8"/>
      <c r="F38" s="8"/>
      <c r="G38" s="8"/>
      <c r="H38" s="8"/>
      <c r="I38" s="8"/>
      <c r="J38" s="8">
        <v>0.95779999999999998</v>
      </c>
      <c r="K38" s="44">
        <f>(Table256789[[#This Row],[Column14]]+Table256789[[#This Row],[Column15]])/(SUM(Table256789[[#This Row],[Column14]:[Column17]]))</f>
        <v>0.87012987012987009</v>
      </c>
      <c r="L38" s="44">
        <f>Table256789[[#This Row],[Column14]]/(Table256789[[#This Row],[Column14]]+Table256789[[#This Row],[Column16]])</f>
        <v>0.89583333333333337</v>
      </c>
      <c r="M38" s="44">
        <f>Table256789[[#This Row],[Column14]]/(Table256789[[#This Row],[Column14]]+Table256789[[#This Row],[Column17]])</f>
        <v>0.83766233766233766</v>
      </c>
      <c r="N38" s="44">
        <f>(2*Table256789[[#This Row],[Column11]]*Table256789[[#This Row],[Column12]])/(Table256789[[#This Row],[Column11]]+Table256789[[#This Row],[Column12]])</f>
        <v>0.865771812080537</v>
      </c>
      <c r="O38" s="8">
        <v>129</v>
      </c>
      <c r="P38" s="8">
        <v>139</v>
      </c>
      <c r="Q38" s="8">
        <v>15</v>
      </c>
      <c r="R38" s="8">
        <v>25</v>
      </c>
      <c r="S38" s="9"/>
    </row>
    <row r="39" spans="1:19" x14ac:dyDescent="0.3">
      <c r="A39" s="8"/>
      <c r="B39" s="8"/>
      <c r="C39" s="8"/>
      <c r="D39" s="8"/>
      <c r="E39" s="8"/>
      <c r="F39" s="8"/>
      <c r="G39" s="8"/>
      <c r="H39" s="8"/>
      <c r="I39" s="8"/>
      <c r="J39" s="8">
        <v>0.95289999999999997</v>
      </c>
      <c r="K39" s="44">
        <f>(Table256789[[#This Row],[Column14]]+Table256789[[#This Row],[Column15]])/(SUM(Table256789[[#This Row],[Column14]:[Column17]]))</f>
        <v>0.86688311688311692</v>
      </c>
      <c r="L39" s="44">
        <f>Table256789[[#This Row],[Column14]]/(Table256789[[#This Row],[Column14]]+Table256789[[#This Row],[Column16]])</f>
        <v>0.90647482014388492</v>
      </c>
      <c r="M39" s="44">
        <f>Table256789[[#This Row],[Column14]]/(Table256789[[#This Row],[Column14]]+Table256789[[#This Row],[Column17]])</f>
        <v>0.81818181818181823</v>
      </c>
      <c r="N39" s="44">
        <f>(2*Table256789[[#This Row],[Column11]]*Table256789[[#This Row],[Column12]])/(Table256789[[#This Row],[Column11]]+Table256789[[#This Row],[Column12]])</f>
        <v>0.86006825938566556</v>
      </c>
      <c r="O39" s="8">
        <v>126</v>
      </c>
      <c r="P39" s="8">
        <v>141</v>
      </c>
      <c r="Q39" s="8">
        <v>13</v>
      </c>
      <c r="R39" s="8">
        <v>28</v>
      </c>
      <c r="S39" s="9"/>
    </row>
    <row r="40" spans="1:19" x14ac:dyDescent="0.3">
      <c r="A40" s="7"/>
      <c r="B40" s="8"/>
      <c r="C40" s="8"/>
      <c r="D40" s="8"/>
      <c r="E40" s="8"/>
      <c r="F40" s="8"/>
      <c r="G40" s="8"/>
      <c r="H40" s="8"/>
      <c r="I40" s="8"/>
      <c r="J40" s="43"/>
      <c r="K40" s="46">
        <f>AVERAGE(K34:K39)</f>
        <v>0.86958874458874458</v>
      </c>
      <c r="L40" s="46">
        <f t="shared" ref="L40:N40" si="10">AVERAGE(L34:L39)</f>
        <v>0.8814023403051312</v>
      </c>
      <c r="M40" s="46">
        <f t="shared" si="10"/>
        <v>0.85714285714285721</v>
      </c>
      <c r="N40" s="46">
        <f t="shared" si="10"/>
        <v>0.86788634160601985</v>
      </c>
      <c r="O40" s="8"/>
      <c r="P40" s="8"/>
      <c r="Q40" s="8"/>
      <c r="R40" s="8"/>
      <c r="S40" s="9"/>
    </row>
    <row r="42" spans="1:19" x14ac:dyDescent="0.3">
      <c r="A42" s="8" t="s">
        <v>6</v>
      </c>
      <c r="B42" s="8" t="s">
        <v>15</v>
      </c>
      <c r="C42" s="8">
        <v>10</v>
      </c>
      <c r="D42" s="8">
        <v>64</v>
      </c>
      <c r="E42" s="8">
        <v>100</v>
      </c>
      <c r="F42" s="8" t="s">
        <v>45</v>
      </c>
      <c r="G42" s="8" t="s">
        <v>44</v>
      </c>
      <c r="H42" s="8" t="s">
        <v>30</v>
      </c>
      <c r="I42" s="8">
        <v>0.3</v>
      </c>
      <c r="J42" s="8">
        <v>0.88719999999999999</v>
      </c>
      <c r="K42" s="44">
        <f>(Table25678911[[#This Row],[Column14]]+Table25678911[[#This Row],[Column15]])/(SUM(Table25678911[[#This Row],[Column14]:[Column17]]))</f>
        <v>0.80844155844155841</v>
      </c>
      <c r="L42" s="44">
        <f>Table25678911[[#This Row],[Column14]]/(Table25678911[[#This Row],[Column14]]+Table25678911[[#This Row],[Column16]])</f>
        <v>0.88</v>
      </c>
      <c r="M42" s="44">
        <f>Table25678911[[#This Row],[Column14]]/(Table25678911[[#This Row],[Column14]]+Table25678911[[#This Row],[Column17]])</f>
        <v>0.7142857142857143</v>
      </c>
      <c r="N42" s="44">
        <f>(2*Table25678911[[#This Row],[Column11]]*Table25678911[[#This Row],[Column12]])/(Table25678911[[#This Row],[Column11]]+Table25678911[[#This Row],[Column12]])</f>
        <v>0.78853046594982079</v>
      </c>
      <c r="O42" s="8">
        <v>110</v>
      </c>
      <c r="P42" s="8">
        <v>139</v>
      </c>
      <c r="Q42" s="8">
        <v>15</v>
      </c>
      <c r="R42" s="8">
        <v>44</v>
      </c>
      <c r="S42" s="8"/>
    </row>
    <row r="43" spans="1:19" x14ac:dyDescent="0.3">
      <c r="A43" s="8"/>
      <c r="B43" s="8"/>
      <c r="C43" s="8"/>
      <c r="D43" s="8"/>
      <c r="E43" s="8"/>
      <c r="F43" s="8"/>
      <c r="G43" s="8"/>
      <c r="H43" s="8"/>
      <c r="I43" s="8"/>
      <c r="J43" s="6">
        <v>0.88149999999999995</v>
      </c>
      <c r="K43" s="44">
        <f>(Table25678911[[#This Row],[Column14]]+Table25678911[[#This Row],[Column15]])/(SUM(Table25678911[[#This Row],[Column14]:[Column17]]))</f>
        <v>0.79220779220779225</v>
      </c>
      <c r="L43" s="44">
        <f>Table25678911[[#This Row],[Column14]]/(Table25678911[[#This Row],[Column14]]+Table25678911[[#This Row],[Column16]])</f>
        <v>0.80821917808219179</v>
      </c>
      <c r="M43" s="44">
        <f>Table25678911[[#This Row],[Column14]]/(Table25678911[[#This Row],[Column14]]+Table25678911[[#This Row],[Column17]])</f>
        <v>0.76623376623376627</v>
      </c>
      <c r="N43" s="44">
        <f>(2*Table25678911[[#This Row],[Column11]]*Table25678911[[#This Row],[Column12]])/(Table25678911[[#This Row],[Column11]]+Table25678911[[#This Row],[Column12]])</f>
        <v>0.78666666666666663</v>
      </c>
      <c r="O43" s="6">
        <v>118</v>
      </c>
      <c r="P43" s="6">
        <v>126</v>
      </c>
      <c r="Q43" s="6">
        <v>28</v>
      </c>
      <c r="R43" s="6">
        <v>36</v>
      </c>
      <c r="S43" s="5"/>
    </row>
    <row r="44" spans="1:19" x14ac:dyDescent="0.3">
      <c r="A44" s="8"/>
      <c r="B44" s="8"/>
      <c r="C44" s="8"/>
      <c r="D44" s="8"/>
      <c r="E44" s="8"/>
      <c r="F44" s="8"/>
      <c r="G44" s="8"/>
      <c r="H44" s="8"/>
      <c r="I44" s="8"/>
      <c r="J44" s="8">
        <v>0.89529999999999998</v>
      </c>
      <c r="K44" s="44">
        <f>(Table25678911[[#This Row],[Column14]]+Table25678911[[#This Row],[Column15]])/(SUM(Table25678911[[#This Row],[Column14]:[Column17]]))</f>
        <v>0.80194805194805197</v>
      </c>
      <c r="L44" s="44">
        <f>Table25678911[[#This Row],[Column14]]/(Table25678911[[#This Row],[Column14]]+Table25678911[[#This Row],[Column16]])</f>
        <v>0.82068965517241377</v>
      </c>
      <c r="M44" s="44">
        <f>Table25678911[[#This Row],[Column14]]/(Table25678911[[#This Row],[Column14]]+Table25678911[[#This Row],[Column17]])</f>
        <v>0.77272727272727271</v>
      </c>
      <c r="N44" s="44">
        <f>(2*Table25678911[[#This Row],[Column11]]*Table25678911[[#This Row],[Column12]])/(Table25678911[[#This Row],[Column11]]+Table25678911[[#This Row],[Column12]])</f>
        <v>0.79598662207357862</v>
      </c>
      <c r="O44" s="8">
        <v>119</v>
      </c>
      <c r="P44" s="8">
        <v>128</v>
      </c>
      <c r="Q44" s="8">
        <v>26</v>
      </c>
      <c r="R44" s="8">
        <v>35</v>
      </c>
      <c r="S44" s="9"/>
    </row>
    <row r="45" spans="1:19" x14ac:dyDescent="0.3">
      <c r="A45" s="8"/>
      <c r="B45" s="8"/>
      <c r="C45" s="8"/>
      <c r="D45" s="8"/>
      <c r="E45" s="8"/>
      <c r="F45" s="8"/>
      <c r="G45" s="8"/>
      <c r="H45" s="8"/>
      <c r="I45" s="8"/>
      <c r="J45" s="8">
        <v>0.90100000000000002</v>
      </c>
      <c r="K45" s="44">
        <f>(Table25678911[[#This Row],[Column14]]+Table25678911[[#This Row],[Column15]])/(SUM(Table25678911[[#This Row],[Column14]:[Column17]]))</f>
        <v>0.79545454545454541</v>
      </c>
      <c r="L45" s="44">
        <f>Table25678911[[#This Row],[Column14]]/(Table25678911[[#This Row],[Column14]]+Table25678911[[#This Row],[Column16]])</f>
        <v>0.83703703703703702</v>
      </c>
      <c r="M45" s="44">
        <f>Table25678911[[#This Row],[Column14]]/(Table25678911[[#This Row],[Column14]]+Table25678911[[#This Row],[Column17]])</f>
        <v>0.73376623376623373</v>
      </c>
      <c r="N45" s="44">
        <f>(2*Table25678911[[#This Row],[Column11]]*Table25678911[[#This Row],[Column12]])/(Table25678911[[#This Row],[Column11]]+Table25678911[[#This Row],[Column12]])</f>
        <v>0.78200692041522502</v>
      </c>
      <c r="O45" s="8">
        <v>113</v>
      </c>
      <c r="P45" s="8">
        <v>132</v>
      </c>
      <c r="Q45" s="8">
        <v>22</v>
      </c>
      <c r="R45" s="8">
        <v>41</v>
      </c>
      <c r="S45" s="9"/>
    </row>
    <row r="46" spans="1:19" x14ac:dyDescent="0.3">
      <c r="A46" s="8"/>
      <c r="B46" s="8"/>
      <c r="C46" s="8"/>
      <c r="D46" s="8"/>
      <c r="E46" s="8"/>
      <c r="F46" s="8"/>
      <c r="G46" s="8"/>
      <c r="H46" s="8"/>
      <c r="I46" s="8"/>
      <c r="J46" s="8">
        <v>0.90669999999999995</v>
      </c>
      <c r="K46" s="44">
        <f>(Table25678911[[#This Row],[Column14]]+Table25678911[[#This Row],[Column15]])/(SUM(Table25678911[[#This Row],[Column14]:[Column17]]))</f>
        <v>0.79220779220779225</v>
      </c>
      <c r="L46" s="44">
        <f>Table25678911[[#This Row],[Column14]]/(Table25678911[[#This Row],[Column14]]+Table25678911[[#This Row],[Column16]])</f>
        <v>0.86290322580645162</v>
      </c>
      <c r="M46" s="44">
        <f>Table25678911[[#This Row],[Column14]]/(Table25678911[[#This Row],[Column14]]+Table25678911[[#This Row],[Column17]])</f>
        <v>0.69480519480519476</v>
      </c>
      <c r="N46" s="44">
        <f>(2*Table25678911[[#This Row],[Column11]]*Table25678911[[#This Row],[Column12]])/(Table25678911[[#This Row],[Column11]]+Table25678911[[#This Row],[Column12]])</f>
        <v>0.7697841726618706</v>
      </c>
      <c r="O46" s="8">
        <v>107</v>
      </c>
      <c r="P46" s="8">
        <v>137</v>
      </c>
      <c r="Q46" s="8">
        <v>17</v>
      </c>
      <c r="R46" s="8">
        <v>47</v>
      </c>
      <c r="S46" s="9"/>
    </row>
    <row r="47" spans="1:19" x14ac:dyDescent="0.3">
      <c r="A47" s="8"/>
      <c r="B47" s="8"/>
      <c r="C47" s="8"/>
      <c r="D47" s="8"/>
      <c r="E47" s="8"/>
      <c r="F47" s="8"/>
      <c r="G47" s="8"/>
      <c r="H47" s="8"/>
      <c r="I47" s="8"/>
      <c r="J47" s="8">
        <v>0.90669999999999995</v>
      </c>
      <c r="K47" s="44">
        <f>(Table25678911[[#This Row],[Column14]]+Table25678911[[#This Row],[Column15]])/(SUM(Table25678911[[#This Row],[Column14]:[Column17]]))</f>
        <v>0.81493506493506496</v>
      </c>
      <c r="L47" s="44">
        <f>Table25678911[[#This Row],[Column14]]/(Table25678911[[#This Row],[Column14]]+Table25678911[[#This Row],[Column16]])</f>
        <v>0.83916083916083917</v>
      </c>
      <c r="M47" s="44">
        <f>Table25678911[[#This Row],[Column14]]/(Table25678911[[#This Row],[Column14]]+Table25678911[[#This Row],[Column17]])</f>
        <v>0.77922077922077926</v>
      </c>
      <c r="N47" s="44">
        <f>(2*Table25678911[[#This Row],[Column11]]*Table25678911[[#This Row],[Column12]])/(Table25678911[[#This Row],[Column11]]+Table25678911[[#This Row],[Column12]])</f>
        <v>0.80808080808080807</v>
      </c>
      <c r="O47" s="8">
        <v>120</v>
      </c>
      <c r="P47" s="8">
        <v>131</v>
      </c>
      <c r="Q47" s="8">
        <v>23</v>
      </c>
      <c r="R47" s="8">
        <v>34</v>
      </c>
      <c r="S47" s="9"/>
    </row>
    <row r="48" spans="1:19" x14ac:dyDescent="0.3">
      <c r="A48" s="7"/>
      <c r="B48" s="8"/>
      <c r="C48" s="8"/>
      <c r="D48" s="8"/>
      <c r="E48" s="8"/>
      <c r="F48" s="8"/>
      <c r="G48" s="8"/>
      <c r="H48" s="8"/>
      <c r="I48" s="8"/>
      <c r="J48" s="43"/>
      <c r="K48" s="46">
        <f>AVERAGE(K42:K47)</f>
        <v>0.80086580086580084</v>
      </c>
      <c r="L48" s="46">
        <f t="shared" ref="L48:N48" si="11">AVERAGE(L42:L47)</f>
        <v>0.8413349892098223</v>
      </c>
      <c r="M48" s="46">
        <f t="shared" si="11"/>
        <v>0.74350649350649345</v>
      </c>
      <c r="N48" s="46">
        <f t="shared" si="11"/>
        <v>0.78850927597466158</v>
      </c>
      <c r="O48" s="8"/>
      <c r="P48" s="8"/>
      <c r="Q48" s="8"/>
      <c r="R48" s="8"/>
      <c r="S48" s="9"/>
    </row>
    <row r="50" spans="1:19" x14ac:dyDescent="0.3">
      <c r="A50" s="8" t="s">
        <v>7</v>
      </c>
      <c r="B50" s="8" t="s">
        <v>15</v>
      </c>
      <c r="C50" s="8">
        <v>10</v>
      </c>
      <c r="D50" s="8">
        <v>128</v>
      </c>
      <c r="E50" s="8">
        <v>100</v>
      </c>
      <c r="F50" s="8" t="s">
        <v>45</v>
      </c>
      <c r="G50" s="8" t="s">
        <v>44</v>
      </c>
      <c r="H50" s="8" t="s">
        <v>30</v>
      </c>
      <c r="I50" s="8">
        <v>0.9</v>
      </c>
      <c r="J50" s="8">
        <v>0.7419</v>
      </c>
      <c r="K50" s="44">
        <f>(Table2567891112[[#This Row],[Column14]]+Table2567891112[[#This Row],[Column15]])/(SUM(Table2567891112[[#This Row],[Column14]:[Column17]]))</f>
        <v>0.6428571428571429</v>
      </c>
      <c r="L50" s="44">
        <f>Table2567891112[[#This Row],[Column14]]/(Table2567891112[[#This Row],[Column14]]+Table2567891112[[#This Row],[Column16]])</f>
        <v>0.76190476190476186</v>
      </c>
      <c r="M50" s="44">
        <f>Table2567891112[[#This Row],[Column14]]/(Table2567891112[[#This Row],[Column14]]+Table2567891112[[#This Row],[Column17]])</f>
        <v>0.41558441558441561</v>
      </c>
      <c r="N50" s="44">
        <f>(2*Table2567891112[[#This Row],[Column11]]*Table2567891112[[#This Row],[Column12]])/(Table2567891112[[#This Row],[Column11]]+Table2567891112[[#This Row],[Column12]])</f>
        <v>0.53781512605042014</v>
      </c>
      <c r="O50" s="8">
        <v>64</v>
      </c>
      <c r="P50" s="8">
        <v>134</v>
      </c>
      <c r="Q50" s="8">
        <v>20</v>
      </c>
      <c r="R50" s="8">
        <v>90</v>
      </c>
      <c r="S50" s="8"/>
    </row>
    <row r="51" spans="1:19" x14ac:dyDescent="0.3">
      <c r="A51" s="8"/>
      <c r="B51" s="8"/>
      <c r="C51" s="8"/>
      <c r="D51" s="8"/>
      <c r="E51" s="8"/>
      <c r="F51" s="8"/>
      <c r="G51" s="8"/>
      <c r="H51" s="8"/>
      <c r="I51" s="8"/>
      <c r="J51" s="6">
        <v>0.76139999999999997</v>
      </c>
      <c r="K51" s="44">
        <f>(Table2567891112[[#This Row],[Column14]]+Table2567891112[[#This Row],[Column15]])/(SUM(Table2567891112[[#This Row],[Column14]:[Column17]]))</f>
        <v>0.65259740259740262</v>
      </c>
      <c r="L51" s="44">
        <f>Table2567891112[[#This Row],[Column14]]/(Table2567891112[[#This Row],[Column14]]+Table2567891112[[#This Row],[Column16]])</f>
        <v>0.66433566433566438</v>
      </c>
      <c r="M51" s="44">
        <f>Table2567891112[[#This Row],[Column14]]/(Table2567891112[[#This Row],[Column14]]+Table2567891112[[#This Row],[Column17]])</f>
        <v>0.61688311688311692</v>
      </c>
      <c r="N51" s="44">
        <f>(2*Table2567891112[[#This Row],[Column11]]*Table2567891112[[#This Row],[Column12]])/(Table2567891112[[#This Row],[Column11]]+Table2567891112[[#This Row],[Column12]])</f>
        <v>0.63973063973063982</v>
      </c>
      <c r="O51" s="6">
        <v>95</v>
      </c>
      <c r="P51" s="6">
        <v>106</v>
      </c>
      <c r="Q51" s="6">
        <v>48</v>
      </c>
      <c r="R51" s="6">
        <v>59</v>
      </c>
      <c r="S51" s="5"/>
    </row>
    <row r="52" spans="1:19" x14ac:dyDescent="0.3">
      <c r="A52" s="8"/>
      <c r="B52" s="8"/>
      <c r="C52" s="8"/>
      <c r="D52" s="8"/>
      <c r="E52" s="8"/>
      <c r="F52" s="8"/>
      <c r="G52" s="8"/>
      <c r="H52" s="8"/>
      <c r="I52" s="8"/>
      <c r="J52" s="8">
        <v>0.74839999999999995</v>
      </c>
      <c r="K52" s="44">
        <f>(Table2567891112[[#This Row],[Column14]]+Table2567891112[[#This Row],[Column15]])/(SUM(Table2567891112[[#This Row],[Column14]:[Column17]]))</f>
        <v>0.62987012987012991</v>
      </c>
      <c r="L52" s="44">
        <f>Table2567891112[[#This Row],[Column14]]/(Table2567891112[[#This Row],[Column14]]+Table2567891112[[#This Row],[Column16]])</f>
        <v>0.71739130434782605</v>
      </c>
      <c r="M52" s="44">
        <f>Table2567891112[[#This Row],[Column14]]/(Table2567891112[[#This Row],[Column14]]+Table2567891112[[#This Row],[Column17]])</f>
        <v>0.42857142857142855</v>
      </c>
      <c r="N52" s="44">
        <f>(2*Table2567891112[[#This Row],[Column11]]*Table2567891112[[#This Row],[Column12]])/(Table2567891112[[#This Row],[Column11]]+Table2567891112[[#This Row],[Column12]])</f>
        <v>0.53658536585365857</v>
      </c>
      <c r="O52" s="8">
        <v>66</v>
      </c>
      <c r="P52" s="8">
        <v>128</v>
      </c>
      <c r="Q52" s="8">
        <v>26</v>
      </c>
      <c r="R52" s="8">
        <v>88</v>
      </c>
      <c r="S52" s="9"/>
    </row>
    <row r="53" spans="1:19" x14ac:dyDescent="0.3">
      <c r="A53" s="8"/>
      <c r="B53" s="8"/>
      <c r="C53" s="8"/>
      <c r="D53" s="8"/>
      <c r="E53" s="8"/>
      <c r="F53" s="8"/>
      <c r="G53" s="8"/>
      <c r="H53" s="8"/>
      <c r="I53" s="8"/>
      <c r="J53" s="8">
        <v>0.75490000000000002</v>
      </c>
      <c r="K53" s="44">
        <f>(Table2567891112[[#This Row],[Column14]]+Table2567891112[[#This Row],[Column15]])/(SUM(Table2567891112[[#This Row],[Column14]:[Column17]]))</f>
        <v>0.63961038961038963</v>
      </c>
      <c r="L53" s="44">
        <f>Table2567891112[[#This Row],[Column14]]/(Table2567891112[[#This Row],[Column14]]+Table2567891112[[#This Row],[Column16]])</f>
        <v>0.64429530201342278</v>
      </c>
      <c r="M53" s="44">
        <f>Table2567891112[[#This Row],[Column14]]/(Table2567891112[[#This Row],[Column14]]+Table2567891112[[#This Row],[Column17]])</f>
        <v>0.62337662337662336</v>
      </c>
      <c r="N53" s="44">
        <f>(2*Table2567891112[[#This Row],[Column11]]*Table2567891112[[#This Row],[Column12]])/(Table2567891112[[#This Row],[Column11]]+Table2567891112[[#This Row],[Column12]])</f>
        <v>0.63366336633663367</v>
      </c>
      <c r="O53" s="8">
        <v>96</v>
      </c>
      <c r="P53" s="8">
        <v>101</v>
      </c>
      <c r="Q53" s="8">
        <v>53</v>
      </c>
      <c r="R53" s="8">
        <v>58</v>
      </c>
      <c r="S53" s="9"/>
    </row>
    <row r="54" spans="1:19" x14ac:dyDescent="0.3">
      <c r="A54" s="8"/>
      <c r="B54" s="8"/>
      <c r="C54" s="8"/>
      <c r="D54" s="8"/>
      <c r="E54" s="8"/>
      <c r="F54" s="8"/>
      <c r="G54" s="8"/>
      <c r="H54" s="8"/>
      <c r="I54" s="8"/>
      <c r="J54" s="8">
        <v>0.74590000000000001</v>
      </c>
      <c r="K54" s="44">
        <f>(Table2567891112[[#This Row],[Column14]]+Table2567891112[[#This Row],[Column15]])/(SUM(Table2567891112[[#This Row],[Column14]:[Column17]]))</f>
        <v>0.63311688311688308</v>
      </c>
      <c r="L54" s="44">
        <f>Table2567891112[[#This Row],[Column14]]/(Table2567891112[[#This Row],[Column14]]+Table2567891112[[#This Row],[Column16]])</f>
        <v>0.65891472868217049</v>
      </c>
      <c r="M54" s="44">
        <f>Table2567891112[[#This Row],[Column14]]/(Table2567891112[[#This Row],[Column14]]+Table2567891112[[#This Row],[Column17]])</f>
        <v>0.55194805194805197</v>
      </c>
      <c r="N54" s="44">
        <f>(2*Table2567891112[[#This Row],[Column11]]*Table2567891112[[#This Row],[Column12]])/(Table2567891112[[#This Row],[Column11]]+Table2567891112[[#This Row],[Column12]])</f>
        <v>0.60070671378091878</v>
      </c>
      <c r="O54" s="8">
        <v>85</v>
      </c>
      <c r="P54" s="8">
        <v>110</v>
      </c>
      <c r="Q54" s="8">
        <v>44</v>
      </c>
      <c r="R54" s="8">
        <v>69</v>
      </c>
      <c r="S54" s="9"/>
    </row>
    <row r="55" spans="1:19" x14ac:dyDescent="0.3">
      <c r="A55" s="8"/>
      <c r="B55" s="8"/>
      <c r="C55" s="8"/>
      <c r="D55" s="8"/>
      <c r="E55" s="8"/>
      <c r="F55" s="8"/>
      <c r="G55" s="8"/>
      <c r="H55" s="8"/>
      <c r="I55" s="8"/>
      <c r="J55" s="8">
        <v>0.74680000000000002</v>
      </c>
      <c r="K55" s="44">
        <f>(Table2567891112[[#This Row],[Column14]]+Table2567891112[[#This Row],[Column15]])/(SUM(Table2567891112[[#This Row],[Column14]:[Column17]]))</f>
        <v>0.62662337662337664</v>
      </c>
      <c r="L55" s="44">
        <f>Table2567891112[[#This Row],[Column14]]/(Table2567891112[[#This Row],[Column14]]+Table2567891112[[#This Row],[Column16]])</f>
        <v>0.66666666666666663</v>
      </c>
      <c r="M55" s="44">
        <f>Table2567891112[[#This Row],[Column14]]/(Table2567891112[[#This Row],[Column14]]+Table2567891112[[#This Row],[Column17]])</f>
        <v>0.50649350649350644</v>
      </c>
      <c r="N55" s="44">
        <f>(2*Table2567891112[[#This Row],[Column11]]*Table2567891112[[#This Row],[Column12]])/(Table2567891112[[#This Row],[Column11]]+Table2567891112[[#This Row],[Column12]])</f>
        <v>0.57564575645756455</v>
      </c>
      <c r="O55" s="8">
        <v>78</v>
      </c>
      <c r="P55" s="8">
        <v>115</v>
      </c>
      <c r="Q55" s="8">
        <v>39</v>
      </c>
      <c r="R55" s="8">
        <v>76</v>
      </c>
      <c r="S55" s="9"/>
    </row>
    <row r="56" spans="1:19" x14ac:dyDescent="0.3">
      <c r="A56" s="7"/>
      <c r="B56" s="8"/>
      <c r="C56" s="8"/>
      <c r="D56" s="8"/>
      <c r="E56" s="8"/>
      <c r="F56" s="8"/>
      <c r="G56" s="8"/>
      <c r="H56" s="8"/>
      <c r="I56" s="8"/>
      <c r="J56" s="43"/>
      <c r="K56" s="46">
        <f>AVERAGE(K50:K55)</f>
        <v>0.63744588744588748</v>
      </c>
      <c r="L56" s="46">
        <f t="shared" ref="L56:N56" si="12">AVERAGE(L50:L55)</f>
        <v>0.68558473799175201</v>
      </c>
      <c r="M56" s="46">
        <f t="shared" si="12"/>
        <v>0.52380952380952384</v>
      </c>
      <c r="N56" s="46">
        <f t="shared" si="12"/>
        <v>0.58735782803497261</v>
      </c>
      <c r="O56" s="8"/>
      <c r="P56" s="8"/>
      <c r="Q56" s="8"/>
      <c r="R56" s="8"/>
      <c r="S56" s="9"/>
    </row>
  </sheetData>
  <phoneticPr fontId="3" type="noConversion"/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F8C9-9A66-4BF2-A9C7-AF77F827304A}">
  <dimension ref="A1:AG56"/>
  <sheetViews>
    <sheetView zoomScaleNormal="100" workbookViewId="0">
      <pane ySplit="1" topLeftCell="A2" activePane="bottomLeft" state="frozen"/>
      <selection pane="bottomLeft" activeCell="AD18" sqref="AD18"/>
    </sheetView>
  </sheetViews>
  <sheetFormatPr defaultRowHeight="14.4" x14ac:dyDescent="0.3"/>
  <cols>
    <col min="1" max="1" width="7.5546875" customWidth="1"/>
    <col min="2" max="3" width="9.44140625" customWidth="1"/>
    <col min="4" max="4" width="10.21875" customWidth="1"/>
    <col min="5" max="5" width="10.21875" style="1" customWidth="1"/>
    <col min="6" max="6" width="13.21875" style="1" customWidth="1"/>
    <col min="7" max="7" width="10.109375" style="1" customWidth="1"/>
    <col min="8" max="8" width="10.109375" customWidth="1"/>
    <col min="9" max="9" width="10.109375" style="1" customWidth="1"/>
    <col min="10" max="10" width="10.109375" customWidth="1"/>
    <col min="11" max="14" width="6.77734375" customWidth="1"/>
    <col min="15" max="15" width="31.109375" customWidth="1"/>
    <col min="16" max="16" width="6.77734375" customWidth="1"/>
    <col min="17" max="17" width="9.88671875" customWidth="1"/>
    <col min="18" max="18" width="10.109375" style="2" customWidth="1"/>
    <col min="19" max="21" width="10.109375" customWidth="1"/>
    <col min="22" max="22" width="10.77734375" customWidth="1"/>
    <col min="23" max="23" width="20.6640625" customWidth="1"/>
    <col min="24" max="27" width="10.109375" customWidth="1"/>
    <col min="30" max="30" width="13.44140625" customWidth="1"/>
  </cols>
  <sheetData>
    <row r="1" spans="1:33" s="10" customFormat="1" ht="17.399999999999999" x14ac:dyDescent="0.35">
      <c r="A1" s="11" t="s">
        <v>17</v>
      </c>
      <c r="B1" s="11" t="s">
        <v>8</v>
      </c>
      <c r="C1" s="11" t="s">
        <v>13</v>
      </c>
      <c r="D1" s="11" t="s">
        <v>0</v>
      </c>
      <c r="E1" s="11" t="s">
        <v>14</v>
      </c>
      <c r="F1" s="11" t="s">
        <v>9</v>
      </c>
      <c r="G1" s="11" t="s">
        <v>10</v>
      </c>
      <c r="H1" s="11" t="s">
        <v>11</v>
      </c>
      <c r="I1" s="11" t="s">
        <v>18</v>
      </c>
      <c r="J1" s="11" t="s">
        <v>12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16</v>
      </c>
    </row>
    <row r="2" spans="1:33" s="13" customFormat="1" x14ac:dyDescent="0.3">
      <c r="A2" s="8" t="s">
        <v>1</v>
      </c>
      <c r="B2" s="8" t="s">
        <v>15</v>
      </c>
      <c r="C2" s="8">
        <v>10</v>
      </c>
      <c r="D2" s="8">
        <v>8</v>
      </c>
      <c r="E2" s="8">
        <v>7.8125E-3</v>
      </c>
      <c r="F2" s="44">
        <v>0.92199711513244098</v>
      </c>
      <c r="G2" s="44">
        <f>(Table252[[#This Row],[Column14]]+Table252[[#This Row],[Column15]])/(SUM(Table252[[#This Row],[Column14]:[Column17]]))</f>
        <v>0.97402597402597402</v>
      </c>
      <c r="H2" s="44">
        <f>Table252[[#This Row],[Column14]]/(Table252[[#This Row],[Column14]]+Table252[[#This Row],[Column16]])</f>
        <v>1</v>
      </c>
      <c r="I2" s="44">
        <f>Table252[[#This Row],[Column14]]/(Table252[[#This Row],[Column14]]+Table252[[#This Row],[Column17]])</f>
        <v>0.94805194805194803</v>
      </c>
      <c r="J2" s="44">
        <f>(2*Table252[[#This Row],[Column11]]*Table252[[#This Row],[Column12]])/(Table252[[#This Row],[Column11]]+Table252[[#This Row],[Column12]])</f>
        <v>0.97333333333333327</v>
      </c>
      <c r="K2" s="8">
        <v>146</v>
      </c>
      <c r="L2" s="8">
        <v>154</v>
      </c>
      <c r="M2" s="8">
        <v>0</v>
      </c>
      <c r="N2" s="8">
        <v>8</v>
      </c>
      <c r="O2" s="8"/>
    </row>
    <row r="3" spans="1:33" x14ac:dyDescent="0.3">
      <c r="A3" s="8"/>
      <c r="B3" s="8"/>
      <c r="C3" s="8"/>
      <c r="D3" s="8"/>
      <c r="E3" s="8"/>
      <c r="F3" s="47">
        <v>0.92037109887227897</v>
      </c>
      <c r="G3" s="44">
        <f>(Table252[[#This Row],[Column14]]+Table252[[#This Row],[Column15]])/(SUM(Table252[[#This Row],[Column14]:[Column17]]))</f>
        <v>0.98376623376623373</v>
      </c>
      <c r="H3" s="44">
        <f>Table252[[#This Row],[Column14]]/(Table252[[#This Row],[Column14]]+Table252[[#This Row],[Column16]])</f>
        <v>1</v>
      </c>
      <c r="I3" s="44">
        <f>Table252[[#This Row],[Column14]]/(Table252[[#This Row],[Column14]]+Table252[[#This Row],[Column17]])</f>
        <v>0.96753246753246758</v>
      </c>
      <c r="J3" s="44">
        <f>(2*Table252[[#This Row],[Column11]]*Table252[[#This Row],[Column12]])/(Table252[[#This Row],[Column11]]+Table252[[#This Row],[Column12]])</f>
        <v>0.98349834983498352</v>
      </c>
      <c r="K3" s="6">
        <v>149</v>
      </c>
      <c r="L3" s="6">
        <v>154</v>
      </c>
      <c r="M3" s="6">
        <v>0</v>
      </c>
      <c r="N3" s="6">
        <v>5</v>
      </c>
      <c r="O3" s="5"/>
      <c r="R3"/>
    </row>
    <row r="4" spans="1:33" x14ac:dyDescent="0.3">
      <c r="A4" s="8"/>
      <c r="B4" s="8"/>
      <c r="C4" s="8"/>
      <c r="D4" s="8"/>
      <c r="E4" s="8"/>
      <c r="F4" s="44">
        <v>0.91711250983477499</v>
      </c>
      <c r="G4" s="44">
        <f>(Table252[[#This Row],[Column14]]+Table252[[#This Row],[Column15]])/(SUM(Table252[[#This Row],[Column14]:[Column17]]))</f>
        <v>0.96753246753246758</v>
      </c>
      <c r="H4" s="44">
        <f>Table252[[#This Row],[Column14]]/(Table252[[#This Row],[Column14]]+Table252[[#This Row],[Column16]])</f>
        <v>0.99315068493150682</v>
      </c>
      <c r="I4" s="44">
        <f>Table252[[#This Row],[Column14]]/(Table252[[#This Row],[Column14]]+Table252[[#This Row],[Column17]])</f>
        <v>0.94155844155844159</v>
      </c>
      <c r="J4" s="44">
        <f>(2*Table252[[#This Row],[Column11]]*Table252[[#This Row],[Column12]])/(Table252[[#This Row],[Column11]]+Table252[[#This Row],[Column12]])</f>
        <v>0.96666666666666667</v>
      </c>
      <c r="K4" s="8">
        <v>145</v>
      </c>
      <c r="L4" s="8">
        <v>153</v>
      </c>
      <c r="M4" s="8">
        <v>1</v>
      </c>
      <c r="N4" s="8">
        <v>9</v>
      </c>
      <c r="O4" s="9"/>
      <c r="R4"/>
    </row>
    <row r="5" spans="1:33" x14ac:dyDescent="0.3">
      <c r="A5" s="8"/>
      <c r="B5" s="8"/>
      <c r="C5" s="8"/>
      <c r="D5" s="8"/>
      <c r="E5" s="8"/>
      <c r="F5" s="44">
        <v>0.91061500131130302</v>
      </c>
      <c r="G5" s="44">
        <f>(Table252[[#This Row],[Column14]]+Table252[[#This Row],[Column15]])/(SUM(Table252[[#This Row],[Column14]:[Column17]]))</f>
        <v>0.96753246753246758</v>
      </c>
      <c r="H5" s="44">
        <f>Table252[[#This Row],[Column14]]/(Table252[[#This Row],[Column14]]+Table252[[#This Row],[Column16]])</f>
        <v>1</v>
      </c>
      <c r="I5" s="44">
        <f>Table252[[#This Row],[Column14]]/(Table252[[#This Row],[Column14]]+Table252[[#This Row],[Column17]])</f>
        <v>0.93506493506493504</v>
      </c>
      <c r="J5" s="44">
        <f>(2*Table252[[#This Row],[Column11]]*Table252[[#This Row],[Column12]])/(Table252[[#This Row],[Column11]]+Table252[[#This Row],[Column12]])</f>
        <v>0.96644295302013428</v>
      </c>
      <c r="K5" s="8">
        <v>144</v>
      </c>
      <c r="L5" s="8">
        <v>154</v>
      </c>
      <c r="M5" s="8">
        <v>0</v>
      </c>
      <c r="N5" s="8">
        <v>10</v>
      </c>
      <c r="O5" s="9"/>
      <c r="R5"/>
    </row>
    <row r="6" spans="1:33" x14ac:dyDescent="0.3">
      <c r="A6" s="8"/>
      <c r="B6" s="8"/>
      <c r="C6" s="8"/>
      <c r="D6" s="8"/>
      <c r="E6" s="8"/>
      <c r="F6" s="44">
        <v>0.91547338054025695</v>
      </c>
      <c r="G6" s="44">
        <f>(Table252[[#This Row],[Column14]]+Table252[[#This Row],[Column15]])/(SUM(Table252[[#This Row],[Column14]:[Column17]]))</f>
        <v>0.9642857142857143</v>
      </c>
      <c r="H6" s="44">
        <f>Table252[[#This Row],[Column14]]/(Table252[[#This Row],[Column14]]+Table252[[#This Row],[Column16]])</f>
        <v>1</v>
      </c>
      <c r="I6" s="44">
        <f>Table252[[#This Row],[Column14]]/(Table252[[#This Row],[Column14]]+Table252[[#This Row],[Column17]])</f>
        <v>0.9285714285714286</v>
      </c>
      <c r="J6" s="44">
        <f>(2*Table252[[#This Row],[Column11]]*Table252[[#This Row],[Column12]])/(Table252[[#This Row],[Column11]]+Table252[[#This Row],[Column12]])</f>
        <v>0.96296296296296302</v>
      </c>
      <c r="K6" s="8">
        <v>143</v>
      </c>
      <c r="L6" s="8">
        <v>154</v>
      </c>
      <c r="M6" s="8">
        <v>0</v>
      </c>
      <c r="N6" s="8">
        <v>11</v>
      </c>
      <c r="O6" s="9"/>
      <c r="R6"/>
    </row>
    <row r="7" spans="1:33" x14ac:dyDescent="0.3">
      <c r="A7" s="8"/>
      <c r="B7" s="8"/>
      <c r="C7" s="8"/>
      <c r="D7" s="8"/>
      <c r="E7" s="8"/>
      <c r="F7" s="44">
        <v>0.920384211906635</v>
      </c>
      <c r="G7" s="44">
        <f>(Table252[[#This Row],[Column14]]+Table252[[#This Row],[Column15]])/(SUM(Table252[[#This Row],[Column14]:[Column17]]))</f>
        <v>0.96753246753246758</v>
      </c>
      <c r="H7" s="44">
        <f>Table252[[#This Row],[Column14]]/(Table252[[#This Row],[Column14]]+Table252[[#This Row],[Column16]])</f>
        <v>1</v>
      </c>
      <c r="I7" s="44">
        <f>Table252[[#This Row],[Column14]]/(Table252[[#This Row],[Column14]]+Table252[[#This Row],[Column17]])</f>
        <v>0.93506493506493504</v>
      </c>
      <c r="J7" s="44">
        <f>(2*Table252[[#This Row],[Column11]]*Table252[[#This Row],[Column12]])/(Table252[[#This Row],[Column11]]+Table252[[#This Row],[Column12]])</f>
        <v>0.96644295302013428</v>
      </c>
      <c r="K7" s="8">
        <v>144</v>
      </c>
      <c r="L7" s="8">
        <v>154</v>
      </c>
      <c r="M7" s="8">
        <v>0</v>
      </c>
      <c r="N7" s="8">
        <v>10</v>
      </c>
      <c r="O7" s="9"/>
      <c r="R7"/>
    </row>
    <row r="8" spans="1:33" x14ac:dyDescent="0.3">
      <c r="A8" s="7"/>
      <c r="B8" s="8"/>
      <c r="C8" s="8"/>
      <c r="D8" s="8"/>
      <c r="E8" s="8"/>
      <c r="F8" s="48"/>
      <c r="G8" s="46">
        <f>AVERAGE(G2:G7)</f>
        <v>0.97077922077922085</v>
      </c>
      <c r="H8" s="46">
        <f>AVERAGE(H2:H7)</f>
        <v>0.99885844748858454</v>
      </c>
      <c r="I8" s="46">
        <f>AVERAGE(I2:I7)</f>
        <v>0.94264069264069272</v>
      </c>
      <c r="J8" s="46">
        <f>AVERAGE(J2:J7)</f>
        <v>0.96989120313970256</v>
      </c>
      <c r="K8" s="8"/>
      <c r="L8" s="8"/>
      <c r="M8" s="8"/>
      <c r="N8" s="8"/>
      <c r="O8" s="9"/>
      <c r="R8"/>
    </row>
    <row r="9" spans="1:33" x14ac:dyDescent="0.3">
      <c r="A9" s="13"/>
      <c r="B9" s="13"/>
      <c r="C9" s="13"/>
      <c r="D9" s="13"/>
      <c r="E9" s="13"/>
      <c r="F9" s="45"/>
      <c r="G9" s="13"/>
      <c r="H9" s="13"/>
      <c r="I9" s="13"/>
      <c r="J9" s="13"/>
      <c r="K9" s="13"/>
      <c r="L9" s="45"/>
      <c r="M9" s="45"/>
      <c r="N9" s="45"/>
      <c r="O9" s="45"/>
      <c r="P9" s="13"/>
      <c r="Q9" s="13"/>
      <c r="R9" s="13"/>
    </row>
    <row r="10" spans="1:33" x14ac:dyDescent="0.3">
      <c r="A10" s="8" t="s">
        <v>2</v>
      </c>
      <c r="B10" s="8" t="s">
        <v>15</v>
      </c>
      <c r="C10" s="8">
        <v>10</v>
      </c>
      <c r="D10" s="8">
        <v>8</v>
      </c>
      <c r="E10" s="8">
        <v>7.8125E-3</v>
      </c>
      <c r="F10" s="44">
        <v>0.91550616312614697</v>
      </c>
      <c r="G10" s="44">
        <f>(Table2563[[#This Row],[Column14]]+Table2563[[#This Row],[Column15]])/(SUM(Table2563[[#This Row],[Column14]:[Column17]]))</f>
        <v>0.96753246753246758</v>
      </c>
      <c r="H10" s="44">
        <f>Table2563[[#This Row],[Column14]]/(Table2563[[#This Row],[Column14]]+Table2563[[#This Row],[Column16]])</f>
        <v>1</v>
      </c>
      <c r="I10" s="44">
        <f>Table2563[[#This Row],[Column14]]/(Table2563[[#This Row],[Column14]]+Table2563[[#This Row],[Column17]])</f>
        <v>0.93506493506493504</v>
      </c>
      <c r="J10" s="44">
        <f>(2*Table2563[[#This Row],[Column11]]*Table2563[[#This Row],[Column12]])/(Table2563[[#This Row],[Column11]]+Table2563[[#This Row],[Column12]])</f>
        <v>0.96644295302013428</v>
      </c>
      <c r="K10" s="8">
        <v>144</v>
      </c>
      <c r="L10" s="8">
        <v>154</v>
      </c>
      <c r="M10" s="8">
        <v>0</v>
      </c>
      <c r="N10" s="8">
        <v>10</v>
      </c>
      <c r="O10" s="8"/>
      <c r="Q10" s="3" t="s">
        <v>19</v>
      </c>
      <c r="R10" s="3" t="s">
        <v>10</v>
      </c>
      <c r="S10" s="3" t="s">
        <v>11</v>
      </c>
      <c r="T10" s="3" t="s">
        <v>18</v>
      </c>
      <c r="U10" s="3" t="s">
        <v>49</v>
      </c>
      <c r="W10" s="3" t="s">
        <v>19</v>
      </c>
      <c r="X10" s="3" t="s">
        <v>10</v>
      </c>
      <c r="Y10" s="3" t="s">
        <v>11</v>
      </c>
      <c r="Z10" s="3" t="s">
        <v>18</v>
      </c>
      <c r="AA10" s="3" t="s">
        <v>49</v>
      </c>
    </row>
    <row r="11" spans="1:33" x14ac:dyDescent="0.3">
      <c r="A11" s="8"/>
      <c r="B11" s="8"/>
      <c r="C11" s="8"/>
      <c r="D11" s="8"/>
      <c r="E11" s="8"/>
      <c r="F11" s="47">
        <v>0.91877786519800597</v>
      </c>
      <c r="G11" s="44">
        <f>(Table2563[[#This Row],[Column14]]+Table2563[[#This Row],[Column15]])/(SUM(Table2563[[#This Row],[Column14]:[Column17]]))</f>
        <v>0.9642857142857143</v>
      </c>
      <c r="H11" s="44">
        <f>Table2563[[#This Row],[Column14]]/(Table2563[[#This Row],[Column14]]+Table2563[[#This Row],[Column16]])</f>
        <v>0.99310344827586206</v>
      </c>
      <c r="I11" s="44">
        <f>Table2563[[#This Row],[Column14]]/(Table2563[[#This Row],[Column14]]+Table2563[[#This Row],[Column17]])</f>
        <v>0.93506493506493504</v>
      </c>
      <c r="J11" s="44">
        <f>(2*Table2563[[#This Row],[Column11]]*Table2563[[#This Row],[Column12]])/(Table2563[[#This Row],[Column11]]+Table2563[[#This Row],[Column12]])</f>
        <v>0.96321070234113715</v>
      </c>
      <c r="K11" s="6">
        <v>144</v>
      </c>
      <c r="L11" s="6">
        <v>153</v>
      </c>
      <c r="M11" s="6">
        <v>1</v>
      </c>
      <c r="N11" s="6">
        <v>10</v>
      </c>
      <c r="O11" s="5"/>
      <c r="Q11" s="8" t="s">
        <v>1</v>
      </c>
      <c r="R11" s="44">
        <f>G8</f>
        <v>0.97077922077922085</v>
      </c>
      <c r="S11" s="44">
        <f>H8</f>
        <v>0.99885844748858454</v>
      </c>
      <c r="T11" s="44">
        <f>I8</f>
        <v>0.94264069264069272</v>
      </c>
      <c r="U11" s="44">
        <f>J8</f>
        <v>0.96989120313970256</v>
      </c>
      <c r="W11" s="8" t="s">
        <v>50</v>
      </c>
      <c r="X11" s="44">
        <f>R11</f>
        <v>0.97077922077922085</v>
      </c>
      <c r="Y11" s="44">
        <f>S11</f>
        <v>0.99885844748858454</v>
      </c>
      <c r="Z11" s="44">
        <f t="shared" ref="Z11:AA13" si="0">T11</f>
        <v>0.94264069264069272</v>
      </c>
      <c r="AA11" s="44">
        <f t="shared" si="0"/>
        <v>0.96989120313970256</v>
      </c>
      <c r="AC11" s="4">
        <f>AVERAGE(X11:X13)</f>
        <v>0.95454545454545459</v>
      </c>
      <c r="AD11" s="4">
        <f>X11-AC11</f>
        <v>1.6233766233766267E-2</v>
      </c>
    </row>
    <row r="12" spans="1:33" x14ac:dyDescent="0.3">
      <c r="A12" s="8"/>
      <c r="B12" s="8"/>
      <c r="C12" s="8"/>
      <c r="D12" s="8"/>
      <c r="E12" s="8"/>
      <c r="F12" s="44">
        <v>0.91064122738001496</v>
      </c>
      <c r="G12" s="44">
        <f>(Table2563[[#This Row],[Column14]]+Table2563[[#This Row],[Column15]])/(SUM(Table2563[[#This Row],[Column14]:[Column17]]))</f>
        <v>0.95779220779220775</v>
      </c>
      <c r="H12" s="44">
        <f>Table2563[[#This Row],[Column14]]/(Table2563[[#This Row],[Column14]]+Table2563[[#This Row],[Column16]])</f>
        <v>0.99300699300699302</v>
      </c>
      <c r="I12" s="44">
        <f>Table2563[[#This Row],[Column14]]/(Table2563[[#This Row],[Column14]]+Table2563[[#This Row],[Column17]])</f>
        <v>0.92207792207792205</v>
      </c>
      <c r="J12" s="44">
        <f>(2*Table2563[[#This Row],[Column11]]*Table2563[[#This Row],[Column12]])/(Table2563[[#This Row],[Column11]]+Table2563[[#This Row],[Column12]])</f>
        <v>0.95622895622895621</v>
      </c>
      <c r="K12" s="8">
        <v>142</v>
      </c>
      <c r="L12" s="8">
        <v>153</v>
      </c>
      <c r="M12" s="8">
        <v>1</v>
      </c>
      <c r="N12" s="8">
        <v>12</v>
      </c>
      <c r="O12" s="9"/>
      <c r="Q12" s="8" t="s">
        <v>2</v>
      </c>
      <c r="R12" s="44">
        <f>G16</f>
        <v>0.96536796536796532</v>
      </c>
      <c r="S12" s="44">
        <f>H16</f>
        <v>0.99426009684630368</v>
      </c>
      <c r="T12" s="44">
        <f>I16</f>
        <v>0.93614718614718617</v>
      </c>
      <c r="U12" s="44">
        <f>J16</f>
        <v>0.96430232500788937</v>
      </c>
      <c r="W12" s="8" t="s">
        <v>51</v>
      </c>
      <c r="X12" s="44">
        <f>R12</f>
        <v>0.96536796536796532</v>
      </c>
      <c r="Y12" s="44">
        <f t="shared" ref="Y12:Y13" si="1">S12</f>
        <v>0.99426009684630368</v>
      </c>
      <c r="Z12" s="44">
        <f t="shared" si="0"/>
        <v>0.93614718614718617</v>
      </c>
      <c r="AA12" s="44">
        <f t="shared" si="0"/>
        <v>0.96430232500788937</v>
      </c>
      <c r="AC12" s="4">
        <f>AVERAGE(X11:X13)</f>
        <v>0.95454545454545459</v>
      </c>
      <c r="AD12" s="4">
        <f t="shared" ref="AD12:AD13" si="2">X12-AC12</f>
        <v>1.0822510822510734E-2</v>
      </c>
    </row>
    <row r="13" spans="1:33" x14ac:dyDescent="0.3">
      <c r="A13" s="8"/>
      <c r="B13" s="8"/>
      <c r="C13" s="8"/>
      <c r="D13" s="8"/>
      <c r="E13" s="8"/>
      <c r="F13" s="44">
        <v>0.91225413060582194</v>
      </c>
      <c r="G13" s="44">
        <f>(Table2563[[#This Row],[Column14]]+Table2563[[#This Row],[Column15]])/(SUM(Table2563[[#This Row],[Column14]:[Column17]]))</f>
        <v>0.97077922077922074</v>
      </c>
      <c r="H13" s="44">
        <f>Table2563[[#This Row],[Column14]]/(Table2563[[#This Row],[Column14]]+Table2563[[#This Row],[Column16]])</f>
        <v>1</v>
      </c>
      <c r="I13" s="44">
        <f>Table2563[[#This Row],[Column14]]/(Table2563[[#This Row],[Column14]]+Table2563[[#This Row],[Column17]])</f>
        <v>0.94155844155844159</v>
      </c>
      <c r="J13" s="44">
        <f>(2*Table2563[[#This Row],[Column11]]*Table2563[[#This Row],[Column12]])/(Table2563[[#This Row],[Column11]]+Table2563[[#This Row],[Column12]])</f>
        <v>0.96989966555183948</v>
      </c>
      <c r="K13" s="8">
        <v>145</v>
      </c>
      <c r="L13" s="8">
        <v>154</v>
      </c>
      <c r="M13" s="8">
        <v>0</v>
      </c>
      <c r="N13" s="8">
        <v>9</v>
      </c>
      <c r="O13" s="9"/>
      <c r="Q13" s="8" t="s">
        <v>3</v>
      </c>
      <c r="R13" s="44">
        <f>G24</f>
        <v>0.92748917748917747</v>
      </c>
      <c r="S13" s="44">
        <f t="shared" ref="S13:U13" si="3">H24</f>
        <v>0.9818722376659007</v>
      </c>
      <c r="T13" s="44">
        <f t="shared" si="3"/>
        <v>0.8712121212121211</v>
      </c>
      <c r="U13" s="44">
        <f t="shared" si="3"/>
        <v>0.9230273410597386</v>
      </c>
      <c r="W13" s="8" t="s">
        <v>52</v>
      </c>
      <c r="X13" s="44">
        <f>R13</f>
        <v>0.92748917748917747</v>
      </c>
      <c r="Y13" s="44">
        <f t="shared" si="1"/>
        <v>0.9818722376659007</v>
      </c>
      <c r="Z13" s="44">
        <f t="shared" si="0"/>
        <v>0.8712121212121211</v>
      </c>
      <c r="AA13" s="44">
        <f t="shared" si="0"/>
        <v>0.9230273410597386</v>
      </c>
      <c r="AC13" s="4">
        <f>AVERAGE(X11:X13)</f>
        <v>0.95454545454545459</v>
      </c>
      <c r="AD13" s="4">
        <f>ABS(X13-AC13)</f>
        <v>2.7056277056277112E-2</v>
      </c>
    </row>
    <row r="14" spans="1:33" x14ac:dyDescent="0.3">
      <c r="A14" s="8"/>
      <c r="B14" s="8"/>
      <c r="C14" s="8"/>
      <c r="D14" s="8"/>
      <c r="E14" s="8"/>
      <c r="F14" s="44">
        <v>0.91877786519800697</v>
      </c>
      <c r="G14" s="44">
        <f>(Table2563[[#This Row],[Column14]]+Table2563[[#This Row],[Column15]])/(SUM(Table2563[[#This Row],[Column14]:[Column17]]))</f>
        <v>0.97402597402597402</v>
      </c>
      <c r="H14" s="44">
        <f>Table2563[[#This Row],[Column14]]/(Table2563[[#This Row],[Column14]]+Table2563[[#This Row],[Column16]])</f>
        <v>0.9932432432432432</v>
      </c>
      <c r="I14" s="44">
        <f>Table2563[[#This Row],[Column14]]/(Table2563[[#This Row],[Column14]]+Table2563[[#This Row],[Column17]])</f>
        <v>0.95454545454545459</v>
      </c>
      <c r="J14" s="44">
        <f>(2*Table2563[[#This Row],[Column11]]*Table2563[[#This Row],[Column12]])/(Table2563[[#This Row],[Column11]]+Table2563[[#This Row],[Column12]])</f>
        <v>0.97350993377483441</v>
      </c>
      <c r="K14" s="8">
        <v>147</v>
      </c>
      <c r="L14" s="8">
        <v>153</v>
      </c>
      <c r="M14" s="8">
        <v>1</v>
      </c>
      <c r="N14" s="8">
        <v>7</v>
      </c>
      <c r="O14" s="9"/>
      <c r="Q14" s="8" t="s">
        <v>4</v>
      </c>
      <c r="R14" s="44">
        <f>G32</f>
        <v>0.91558441558441572</v>
      </c>
      <c r="S14" s="44">
        <f>H32</f>
        <v>0.97720457162101981</v>
      </c>
      <c r="T14" s="44">
        <f>I32</f>
        <v>0.85173160173160178</v>
      </c>
      <c r="U14" s="44">
        <f>J32</f>
        <v>0.9097308502016509</v>
      </c>
      <c r="W14" s="13"/>
      <c r="X14" s="45"/>
      <c r="Y14" s="45"/>
      <c r="Z14" s="45"/>
      <c r="AA14" s="45"/>
      <c r="AD14" s="4">
        <f>AVERAGE(AD11:AD13)</f>
        <v>1.8037518037518036E-2</v>
      </c>
    </row>
    <row r="15" spans="1:33" x14ac:dyDescent="0.3">
      <c r="A15" s="8"/>
      <c r="B15" s="8"/>
      <c r="C15" s="8"/>
      <c r="D15" s="8"/>
      <c r="E15" s="8"/>
      <c r="F15" s="44">
        <v>0.91716496197219999</v>
      </c>
      <c r="G15" s="44">
        <f>(Table2563[[#This Row],[Column14]]+Table2563[[#This Row],[Column15]])/(SUM(Table2563[[#This Row],[Column14]:[Column17]]))</f>
        <v>0.95779220779220775</v>
      </c>
      <c r="H15" s="44">
        <f>Table2563[[#This Row],[Column14]]/(Table2563[[#This Row],[Column14]]+Table2563[[#This Row],[Column16]])</f>
        <v>0.98620689655172411</v>
      </c>
      <c r="I15" s="44">
        <f>Table2563[[#This Row],[Column14]]/(Table2563[[#This Row],[Column14]]+Table2563[[#This Row],[Column17]])</f>
        <v>0.9285714285714286</v>
      </c>
      <c r="J15" s="44">
        <f>(2*Table2563[[#This Row],[Column11]]*Table2563[[#This Row],[Column12]])/(Table2563[[#This Row],[Column11]]+Table2563[[#This Row],[Column12]])</f>
        <v>0.9565217391304347</v>
      </c>
      <c r="K15" s="8">
        <v>143</v>
      </c>
      <c r="L15" s="8">
        <v>152</v>
      </c>
      <c r="M15" s="8">
        <v>2</v>
      </c>
      <c r="N15" s="8">
        <v>11</v>
      </c>
      <c r="O15" s="9"/>
      <c r="Q15" s="8" t="s">
        <v>5</v>
      </c>
      <c r="R15" s="44">
        <f>G40</f>
        <v>0.83116883116883133</v>
      </c>
      <c r="S15" s="44">
        <f>H40</f>
        <v>0.93398899479029363</v>
      </c>
      <c r="T15" s="44">
        <f>I40</f>
        <v>0.71320346320346317</v>
      </c>
      <c r="U15" s="44">
        <f>J40</f>
        <v>0.8078362301085994</v>
      </c>
      <c r="W15" s="3" t="s">
        <v>19</v>
      </c>
      <c r="X15" s="3" t="s">
        <v>10</v>
      </c>
      <c r="Y15" s="3" t="s">
        <v>11</v>
      </c>
      <c r="Z15" s="3" t="s">
        <v>18</v>
      </c>
      <c r="AA15" s="3" t="s">
        <v>49</v>
      </c>
    </row>
    <row r="16" spans="1:33" x14ac:dyDescent="0.3">
      <c r="A16" s="7"/>
      <c r="B16" s="8"/>
      <c r="C16" s="8"/>
      <c r="D16" s="8"/>
      <c r="E16" s="8"/>
      <c r="F16" s="48"/>
      <c r="G16" s="46">
        <f>AVERAGE(G10:G15)</f>
        <v>0.96536796536796532</v>
      </c>
      <c r="H16" s="46">
        <f t="shared" ref="H16:J16" si="4">AVERAGE(H10:H15)</f>
        <v>0.99426009684630368</v>
      </c>
      <c r="I16" s="46">
        <f t="shared" si="4"/>
        <v>0.93614718614718617</v>
      </c>
      <c r="J16" s="46">
        <f t="shared" si="4"/>
        <v>0.96430232500788937</v>
      </c>
      <c r="K16" s="8"/>
      <c r="L16" s="8"/>
      <c r="M16" s="8"/>
      <c r="N16" s="8"/>
      <c r="O16" s="9"/>
      <c r="Q16" s="8" t="s">
        <v>6</v>
      </c>
      <c r="R16" s="44">
        <f>G48</f>
        <v>0.7548701298701298</v>
      </c>
      <c r="S16" s="44">
        <f>H48</f>
        <v>0.87923516190174811</v>
      </c>
      <c r="T16" s="44">
        <f>I48</f>
        <v>0.59090909090909094</v>
      </c>
      <c r="U16" s="44">
        <f>J48</f>
        <v>0.70535634453150464</v>
      </c>
      <c r="W16" s="8" t="s">
        <v>53</v>
      </c>
      <c r="X16" s="44">
        <f>R12</f>
        <v>0.96536796536796532</v>
      </c>
      <c r="Y16" s="44">
        <f>S12</f>
        <v>0.99426009684630368</v>
      </c>
      <c r="Z16" s="44">
        <f>T12</f>
        <v>0.93614718614718617</v>
      </c>
      <c r="AA16" s="44">
        <f>U12</f>
        <v>0.96430232500788937</v>
      </c>
      <c r="AD16" s="65">
        <f>_xlfn.STDEV.P(X11:X13)</f>
        <v>1.925879915590065E-2</v>
      </c>
      <c r="AE16" s="65">
        <f t="shared" ref="AE16:AG16" si="5">_xlfn.STDEV.P(Y11:Y13)</f>
        <v>7.1735254608959343E-3</v>
      </c>
      <c r="AF16" s="65">
        <f t="shared" si="5"/>
        <v>3.225035589989475E-2</v>
      </c>
      <c r="AG16" s="65">
        <f t="shared" si="5"/>
        <v>2.089944557409823E-2</v>
      </c>
    </row>
    <row r="17" spans="1:33" x14ac:dyDescent="0.3">
      <c r="E17"/>
      <c r="F17" s="4"/>
      <c r="G17"/>
      <c r="I17"/>
      <c r="Q17" s="8" t="s">
        <v>7</v>
      </c>
      <c r="R17" s="44">
        <f>G56</f>
        <v>0.59848484848484851</v>
      </c>
      <c r="S17" s="44">
        <f>H56</f>
        <v>0.67244861619861629</v>
      </c>
      <c r="T17" s="44">
        <f>I56</f>
        <v>0.38419913419913421</v>
      </c>
      <c r="U17" s="44">
        <f>J56</f>
        <v>0.48808580053407641</v>
      </c>
      <c r="W17" s="8" t="s">
        <v>54</v>
      </c>
      <c r="X17" s="44">
        <f>R14</f>
        <v>0.91558441558441572</v>
      </c>
      <c r="Y17" s="44">
        <f>S14</f>
        <v>0.97720457162101981</v>
      </c>
      <c r="Z17" s="44">
        <f>T14</f>
        <v>0.85173160173160178</v>
      </c>
      <c r="AA17" s="44">
        <f>U14</f>
        <v>0.9097308502016509</v>
      </c>
      <c r="AD17" s="65">
        <f>_xlfn.STDEV.P(X16:X18)</f>
        <v>5.5391335404528737E-2</v>
      </c>
      <c r="AE17" s="65">
        <f t="shared" ref="AE17:AG17" si="6">_xlfn.STDEV.P(Y16:Y18)</f>
        <v>2.5366388006723192E-2</v>
      </c>
      <c r="AF17" s="65">
        <f t="shared" si="6"/>
        <v>9.1905712345922222E-2</v>
      </c>
      <c r="AG17" s="65">
        <f t="shared" si="6"/>
        <v>6.4843571016433108E-2</v>
      </c>
    </row>
    <row r="18" spans="1:33" x14ac:dyDescent="0.3">
      <c r="A18" s="8" t="s">
        <v>3</v>
      </c>
      <c r="B18" s="8" t="s">
        <v>15</v>
      </c>
      <c r="C18" s="8">
        <v>10</v>
      </c>
      <c r="D18" s="8">
        <v>8</v>
      </c>
      <c r="E18" s="8">
        <v>7.8125E-3</v>
      </c>
      <c r="F18" s="44">
        <v>0.84807238394964501</v>
      </c>
      <c r="G18" s="44">
        <f>(Table256710[[#This Row],[Column14]]+Table256710[[#This Row],[Column15]])/(SUM(Table256710[[#This Row],[Column14]:[Column17]]))</f>
        <v>0.91558441558441561</v>
      </c>
      <c r="H18" s="44">
        <f>Table256710[[#This Row],[Column14]]/(Table256710[[#This Row],[Column14]]+Table256710[[#This Row],[Column16]])</f>
        <v>0.98484848484848486</v>
      </c>
      <c r="I18" s="44">
        <f>Table256710[[#This Row],[Column14]]/(Table256710[[#This Row],[Column14]]+Table256710[[#This Row],[Column17]])</f>
        <v>0.8441558441558441</v>
      </c>
      <c r="J18" s="44">
        <f>(2*Table256710[[#This Row],[Column11]]*Table256710[[#This Row],[Column12]])/(Table256710[[#This Row],[Column11]]+Table256710[[#This Row],[Column12]])</f>
        <v>0.90909090909090906</v>
      </c>
      <c r="K18" s="8">
        <v>130</v>
      </c>
      <c r="L18" s="8">
        <v>152</v>
      </c>
      <c r="M18" s="8">
        <v>2</v>
      </c>
      <c r="N18" s="8">
        <v>24</v>
      </c>
      <c r="O18" s="8"/>
      <c r="R18"/>
      <c r="W18" s="8" t="s">
        <v>55</v>
      </c>
      <c r="X18" s="44">
        <f>R15</f>
        <v>0.83116883116883133</v>
      </c>
      <c r="Y18" s="44">
        <f t="shared" ref="Y18:AA18" si="7">S15</f>
        <v>0.93398899479029363</v>
      </c>
      <c r="Z18" s="44">
        <f t="shared" si="7"/>
        <v>0.71320346320346317</v>
      </c>
      <c r="AA18" s="44">
        <f t="shared" si="7"/>
        <v>0.8078362301085994</v>
      </c>
      <c r="AD18" s="65">
        <f>_xlfn.STDEV.P(X21:X23)</f>
        <v>0.13436994552290196</v>
      </c>
      <c r="AE18" s="65">
        <f t="shared" ref="AE18:AG18" si="8">_xlfn.STDEV.P(Y21:Y23)</f>
        <v>0.12868480974293572</v>
      </c>
      <c r="AF18" s="65">
        <f t="shared" si="8"/>
        <v>0.19957745489447487</v>
      </c>
      <c r="AG18" s="65">
        <f t="shared" si="8"/>
        <v>0.17756416545806455</v>
      </c>
    </row>
    <row r="19" spans="1:33" x14ac:dyDescent="0.3">
      <c r="A19" s="8"/>
      <c r="B19" s="8"/>
      <c r="C19" s="8"/>
      <c r="D19" s="8"/>
      <c r="E19" s="8"/>
      <c r="F19" s="47">
        <v>0.844040125885129</v>
      </c>
      <c r="G19" s="44">
        <f>(Table256710[[#This Row],[Column14]]+Table256710[[#This Row],[Column15]])/(SUM(Table256710[[#This Row],[Column14]:[Column17]]))</f>
        <v>0.93181818181818177</v>
      </c>
      <c r="H19" s="44">
        <f>Table256710[[#This Row],[Column14]]/(Table256710[[#This Row],[Column14]]+Table256710[[#This Row],[Column16]])</f>
        <v>0.97163120567375882</v>
      </c>
      <c r="I19" s="44">
        <f>Table256710[[#This Row],[Column14]]/(Table256710[[#This Row],[Column14]]+Table256710[[#This Row],[Column17]])</f>
        <v>0.88961038961038963</v>
      </c>
      <c r="J19" s="44">
        <f>(2*Table256710[[#This Row],[Column11]]*Table256710[[#This Row],[Column12]])/(Table256710[[#This Row],[Column11]]+Table256710[[#This Row],[Column12]])</f>
        <v>0.92881355932203402</v>
      </c>
      <c r="K19" s="6">
        <v>137</v>
      </c>
      <c r="L19" s="6">
        <v>150</v>
      </c>
      <c r="M19" s="6">
        <v>4</v>
      </c>
      <c r="N19" s="6">
        <v>17</v>
      </c>
      <c r="O19" s="5"/>
      <c r="R19"/>
    </row>
    <row r="20" spans="1:33" x14ac:dyDescent="0.3">
      <c r="A20" s="8"/>
      <c r="B20" s="8"/>
      <c r="C20" s="8"/>
      <c r="D20" s="8"/>
      <c r="E20" s="8"/>
      <c r="F20" s="44">
        <v>0.83429714135850996</v>
      </c>
      <c r="G20" s="44">
        <f>(Table256710[[#This Row],[Column14]]+Table256710[[#This Row],[Column15]])/(SUM(Table256710[[#This Row],[Column14]:[Column17]]))</f>
        <v>0.93181818181818177</v>
      </c>
      <c r="H20" s="44">
        <f>Table256710[[#This Row],[Column14]]/(Table256710[[#This Row],[Column14]]+Table256710[[#This Row],[Column16]])</f>
        <v>0.97841726618705038</v>
      </c>
      <c r="I20" s="44">
        <f>Table256710[[#This Row],[Column14]]/(Table256710[[#This Row],[Column14]]+Table256710[[#This Row],[Column17]])</f>
        <v>0.88311688311688308</v>
      </c>
      <c r="J20" s="44">
        <f>(2*Table256710[[#This Row],[Column11]]*Table256710[[#This Row],[Column12]])/(Table256710[[#This Row],[Column11]]+Table256710[[#This Row],[Column12]])</f>
        <v>0.92832764505119458</v>
      </c>
      <c r="K20" s="8">
        <v>136</v>
      </c>
      <c r="L20" s="8">
        <v>151</v>
      </c>
      <c r="M20" s="8">
        <v>3</v>
      </c>
      <c r="N20" s="8">
        <v>18</v>
      </c>
      <c r="O20" s="9"/>
      <c r="R20" s="4">
        <f>AVERAGE(R11:R17)</f>
        <v>0.85196351267779846</v>
      </c>
      <c r="W20" s="3" t="s">
        <v>19</v>
      </c>
      <c r="X20" s="3" t="s">
        <v>10</v>
      </c>
      <c r="Y20" s="3" t="s">
        <v>11</v>
      </c>
      <c r="Z20" s="3" t="s">
        <v>18</v>
      </c>
      <c r="AA20" s="3" t="s">
        <v>49</v>
      </c>
      <c r="AD20" s="64">
        <f>X11-X23</f>
        <v>0.37229437229437234</v>
      </c>
    </row>
    <row r="21" spans="1:33" x14ac:dyDescent="0.3">
      <c r="A21" s="8"/>
      <c r="B21" s="8"/>
      <c r="C21" s="8"/>
      <c r="D21" s="8"/>
      <c r="E21" s="8"/>
      <c r="F21" s="44">
        <v>0.84813794912142604</v>
      </c>
      <c r="G21" s="44">
        <f>(Table256710[[#This Row],[Column14]]+Table256710[[#This Row],[Column15]])/(SUM(Table256710[[#This Row],[Column14]:[Column17]]))</f>
        <v>0.91558441558441561</v>
      </c>
      <c r="H21" s="44">
        <f>Table256710[[#This Row],[Column14]]/(Table256710[[#This Row],[Column14]]+Table256710[[#This Row],[Column16]])</f>
        <v>0.99230769230769234</v>
      </c>
      <c r="I21" s="44">
        <f>Table256710[[#This Row],[Column14]]/(Table256710[[#This Row],[Column14]]+Table256710[[#This Row],[Column17]])</f>
        <v>0.83766233766233766</v>
      </c>
      <c r="J21" s="44">
        <f>(2*Table256710[[#This Row],[Column11]]*Table256710[[#This Row],[Column12]])/(Table256710[[#This Row],[Column11]]+Table256710[[#This Row],[Column12]])</f>
        <v>0.90845070422535212</v>
      </c>
      <c r="K21" s="8">
        <v>129</v>
      </c>
      <c r="L21" s="8">
        <v>153</v>
      </c>
      <c r="M21" s="8">
        <v>1</v>
      </c>
      <c r="N21" s="8">
        <v>25</v>
      </c>
      <c r="O21" s="9"/>
      <c r="R21"/>
      <c r="W21" s="8" t="s">
        <v>56</v>
      </c>
      <c r="X21" s="44">
        <f>R13</f>
        <v>0.92748917748917747</v>
      </c>
      <c r="Y21" s="44">
        <f t="shared" ref="Y21:AA21" si="9">S13</f>
        <v>0.9818722376659007</v>
      </c>
      <c r="Z21" s="44">
        <f t="shared" si="9"/>
        <v>0.8712121212121211</v>
      </c>
      <c r="AA21" s="44">
        <f t="shared" si="9"/>
        <v>0.9230273410597386</v>
      </c>
    </row>
    <row r="22" spans="1:33" x14ac:dyDescent="0.3">
      <c r="A22" s="8"/>
      <c r="B22" s="8"/>
      <c r="C22" s="8"/>
      <c r="D22" s="8"/>
      <c r="E22" s="8"/>
      <c r="F22" s="44">
        <v>0.84809861001835796</v>
      </c>
      <c r="G22" s="44">
        <f>(Table256710[[#This Row],[Column14]]+Table256710[[#This Row],[Column15]])/(SUM(Table256710[[#This Row],[Column14]:[Column17]]))</f>
        <v>0.93181818181818177</v>
      </c>
      <c r="H22" s="44">
        <f>Table256710[[#This Row],[Column14]]/(Table256710[[#This Row],[Column14]]+Table256710[[#This Row],[Column16]])</f>
        <v>0.97841726618705038</v>
      </c>
      <c r="I22" s="44">
        <f>Table256710[[#This Row],[Column14]]/(Table256710[[#This Row],[Column14]]+Table256710[[#This Row],[Column17]])</f>
        <v>0.88311688311688308</v>
      </c>
      <c r="J22" s="44">
        <f>(2*Table256710[[#This Row],[Column11]]*Table256710[[#This Row],[Column12]])/(Table256710[[#This Row],[Column11]]+Table256710[[#This Row],[Column12]])</f>
        <v>0.92832764505119458</v>
      </c>
      <c r="K22" s="8">
        <v>136</v>
      </c>
      <c r="L22" s="8">
        <v>151</v>
      </c>
      <c r="M22" s="8">
        <v>3</v>
      </c>
      <c r="N22" s="8">
        <v>18</v>
      </c>
      <c r="O22" s="9"/>
      <c r="R22"/>
      <c r="W22" s="8" t="s">
        <v>57</v>
      </c>
      <c r="X22" s="44">
        <f>R16</f>
        <v>0.7548701298701298</v>
      </c>
      <c r="Y22" s="44">
        <f t="shared" ref="Y22:AA22" si="10">S16</f>
        <v>0.87923516190174811</v>
      </c>
      <c r="Z22" s="44">
        <f t="shared" si="10"/>
        <v>0.59090909090909094</v>
      </c>
      <c r="AA22" s="44">
        <f t="shared" si="10"/>
        <v>0.70535634453150464</v>
      </c>
    </row>
    <row r="23" spans="1:33" x14ac:dyDescent="0.3">
      <c r="A23" s="8"/>
      <c r="B23" s="8"/>
      <c r="C23" s="8"/>
      <c r="D23" s="8"/>
      <c r="E23" s="8"/>
      <c r="F23" s="44">
        <v>0.84971151324416405</v>
      </c>
      <c r="G23" s="44">
        <f>(Table256710[[#This Row],[Column14]]+Table256710[[#This Row],[Column15]])/(SUM(Table256710[[#This Row],[Column14]:[Column17]]))</f>
        <v>0.93831168831168832</v>
      </c>
      <c r="H23" s="44">
        <f>Table256710[[#This Row],[Column14]]/(Table256710[[#This Row],[Column14]]+Table256710[[#This Row],[Column16]])</f>
        <v>0.98561151079136688</v>
      </c>
      <c r="I23" s="44">
        <f>Table256710[[#This Row],[Column14]]/(Table256710[[#This Row],[Column14]]+Table256710[[#This Row],[Column17]])</f>
        <v>0.88961038961038963</v>
      </c>
      <c r="J23" s="44">
        <f>(2*Table256710[[#This Row],[Column11]]*Table256710[[#This Row],[Column12]])/(Table256710[[#This Row],[Column11]]+Table256710[[#This Row],[Column12]])</f>
        <v>0.93515358361774747</v>
      </c>
      <c r="K23" s="8">
        <v>137</v>
      </c>
      <c r="L23" s="8">
        <v>152</v>
      </c>
      <c r="M23" s="8">
        <v>2</v>
      </c>
      <c r="N23" s="8">
        <v>17</v>
      </c>
      <c r="O23" s="9"/>
      <c r="R23"/>
      <c r="W23" s="8" t="s">
        <v>58</v>
      </c>
      <c r="X23" s="44">
        <f>R17</f>
        <v>0.59848484848484851</v>
      </c>
      <c r="Y23" s="44">
        <f t="shared" ref="Y23:AA23" si="11">S17</f>
        <v>0.67244861619861629</v>
      </c>
      <c r="Z23" s="44">
        <f t="shared" si="11"/>
        <v>0.38419913419913421</v>
      </c>
      <c r="AA23" s="44">
        <f t="shared" si="11"/>
        <v>0.48808580053407641</v>
      </c>
    </row>
    <row r="24" spans="1:33" x14ac:dyDescent="0.3">
      <c r="A24" s="7"/>
      <c r="B24" s="8"/>
      <c r="C24" s="8"/>
      <c r="D24" s="8"/>
      <c r="E24" s="8"/>
      <c r="F24" s="48"/>
      <c r="G24" s="46">
        <f>AVERAGE(G18:G23)</f>
        <v>0.92748917748917747</v>
      </c>
      <c r="H24" s="46">
        <f t="shared" ref="H24:J24" si="12">AVERAGE(H18:H23)</f>
        <v>0.9818722376659007</v>
      </c>
      <c r="I24" s="46">
        <f t="shared" si="12"/>
        <v>0.8712121212121211</v>
      </c>
      <c r="J24" s="46">
        <f t="shared" si="12"/>
        <v>0.9230273410597386</v>
      </c>
      <c r="K24" s="8"/>
      <c r="L24" s="8"/>
      <c r="M24" s="8"/>
      <c r="N24" s="8"/>
      <c r="O24" s="9"/>
      <c r="R24"/>
    </row>
    <row r="25" spans="1:33" x14ac:dyDescent="0.3">
      <c r="F25" s="4"/>
    </row>
    <row r="26" spans="1:33" x14ac:dyDescent="0.3">
      <c r="A26" s="8" t="s">
        <v>4</v>
      </c>
      <c r="B26" s="8" t="s">
        <v>15</v>
      </c>
      <c r="C26" s="8">
        <v>10</v>
      </c>
      <c r="D26" s="8">
        <v>8</v>
      </c>
      <c r="E26" s="8">
        <v>7.8125E-3</v>
      </c>
      <c r="F26" s="44">
        <v>0.83442827170207101</v>
      </c>
      <c r="G26" s="44">
        <f>(Table2567814[[#This Row],[Column14]]+Table2567814[[#This Row],[Column15]])/(SUM(Table2567814[[#This Row],[Column14]:[Column17]]))</f>
        <v>0.91233766233766234</v>
      </c>
      <c r="H26" s="44">
        <f>Table2567814[[#This Row],[Column14]]/(Table2567814[[#This Row],[Column14]]+Table2567814[[#This Row],[Column16]])</f>
        <v>0.99224806201550386</v>
      </c>
      <c r="I26" s="44">
        <f>Table2567814[[#This Row],[Column14]]/(Table2567814[[#This Row],[Column14]]+Table2567814[[#This Row],[Column17]])</f>
        <v>0.83116883116883122</v>
      </c>
      <c r="J26" s="44">
        <f>(2*Table2567814[[#This Row],[Column11]]*Table2567814[[#This Row],[Column12]])/(Table2567814[[#This Row],[Column11]]+Table2567814[[#This Row],[Column12]])</f>
        <v>0.90459363957597183</v>
      </c>
      <c r="K26" s="8">
        <v>128</v>
      </c>
      <c r="L26" s="8">
        <v>153</v>
      </c>
      <c r="M26" s="8">
        <v>1</v>
      </c>
      <c r="N26" s="8">
        <v>26</v>
      </c>
      <c r="O26" s="8"/>
      <c r="R26"/>
    </row>
    <row r="27" spans="1:33" x14ac:dyDescent="0.3">
      <c r="A27" s="8"/>
      <c r="B27" s="8"/>
      <c r="C27" s="8"/>
      <c r="D27" s="8"/>
      <c r="E27" s="8"/>
      <c r="F27" s="47">
        <v>0.84739706268030401</v>
      </c>
      <c r="G27" s="44">
        <f>(Table2567814[[#This Row],[Column14]]+Table2567814[[#This Row],[Column15]])/(SUM(Table2567814[[#This Row],[Column14]:[Column17]]))</f>
        <v>0.91883116883116878</v>
      </c>
      <c r="H27" s="44">
        <f>Table2567814[[#This Row],[Column14]]/(Table2567814[[#This Row],[Column14]]+Table2567814[[#This Row],[Column16]])</f>
        <v>0.98496240601503759</v>
      </c>
      <c r="I27" s="44">
        <f>Table2567814[[#This Row],[Column14]]/(Table2567814[[#This Row],[Column14]]+Table2567814[[#This Row],[Column17]])</f>
        <v>0.85064935064935066</v>
      </c>
      <c r="J27" s="44">
        <f>(2*Table2567814[[#This Row],[Column11]]*Table2567814[[#This Row],[Column12]])/(Table2567814[[#This Row],[Column11]]+Table2567814[[#This Row],[Column12]])</f>
        <v>0.91289198606271782</v>
      </c>
      <c r="K27" s="6">
        <v>131</v>
      </c>
      <c r="L27" s="6">
        <v>152</v>
      </c>
      <c r="M27" s="6">
        <v>2</v>
      </c>
      <c r="N27" s="6">
        <v>23</v>
      </c>
      <c r="O27" s="5"/>
      <c r="R27"/>
    </row>
    <row r="28" spans="1:33" x14ac:dyDescent="0.3">
      <c r="A28" s="8"/>
      <c r="B28" s="8"/>
      <c r="C28" s="8"/>
      <c r="D28" s="8"/>
      <c r="E28" s="8"/>
      <c r="F28" s="44">
        <v>0.86363099921321795</v>
      </c>
      <c r="G28" s="44">
        <f>(Table2567814[[#This Row],[Column14]]+Table2567814[[#This Row],[Column15]])/(SUM(Table2567814[[#This Row],[Column14]:[Column17]]))</f>
        <v>0.90909090909090906</v>
      </c>
      <c r="H28" s="44">
        <f>Table2567814[[#This Row],[Column14]]/(Table2567814[[#This Row],[Column14]]+Table2567814[[#This Row],[Column16]])</f>
        <v>0.9375</v>
      </c>
      <c r="I28" s="44">
        <f>Table2567814[[#This Row],[Column14]]/(Table2567814[[#This Row],[Column14]]+Table2567814[[#This Row],[Column17]])</f>
        <v>0.87662337662337664</v>
      </c>
      <c r="J28" s="44">
        <f>(2*Table2567814[[#This Row],[Column11]]*Table2567814[[#This Row],[Column12]])/(Table2567814[[#This Row],[Column11]]+Table2567814[[#This Row],[Column12]])</f>
        <v>0.90604026845637586</v>
      </c>
      <c r="K28" s="8">
        <v>135</v>
      </c>
      <c r="L28" s="8">
        <v>145</v>
      </c>
      <c r="M28" s="8">
        <v>9</v>
      </c>
      <c r="N28" s="8">
        <v>19</v>
      </c>
      <c r="O28" s="9"/>
      <c r="R28"/>
    </row>
    <row r="29" spans="1:33" x14ac:dyDescent="0.3">
      <c r="A29" s="8"/>
      <c r="B29" s="8"/>
      <c r="C29" s="8"/>
      <c r="D29" s="8"/>
      <c r="E29" s="8"/>
      <c r="F29" s="44">
        <v>0.85471413585103595</v>
      </c>
      <c r="G29" s="44">
        <f>(Table2567814[[#This Row],[Column14]]+Table2567814[[#This Row],[Column15]])/(SUM(Table2567814[[#This Row],[Column14]:[Column17]]))</f>
        <v>0.91883116883116878</v>
      </c>
      <c r="H29" s="44">
        <f>Table2567814[[#This Row],[Column14]]/(Table2567814[[#This Row],[Column14]]+Table2567814[[#This Row],[Column16]])</f>
        <v>0.98496240601503759</v>
      </c>
      <c r="I29" s="44">
        <f>Table2567814[[#This Row],[Column14]]/(Table2567814[[#This Row],[Column14]]+Table2567814[[#This Row],[Column17]])</f>
        <v>0.85064935064935066</v>
      </c>
      <c r="J29" s="44">
        <f>(2*Table2567814[[#This Row],[Column11]]*Table2567814[[#This Row],[Column12]])/(Table2567814[[#This Row],[Column11]]+Table2567814[[#This Row],[Column12]])</f>
        <v>0.91289198606271782</v>
      </c>
      <c r="K29" s="8">
        <v>131</v>
      </c>
      <c r="L29" s="8">
        <v>152</v>
      </c>
      <c r="M29" s="8">
        <v>2</v>
      </c>
      <c r="N29" s="8">
        <v>23</v>
      </c>
      <c r="O29" s="9"/>
      <c r="R29"/>
    </row>
    <row r="30" spans="1:33" x14ac:dyDescent="0.3">
      <c r="A30" s="8"/>
      <c r="B30" s="8"/>
      <c r="C30" s="8"/>
      <c r="D30" s="8"/>
      <c r="E30" s="8"/>
      <c r="F30" s="44">
        <v>0.84982953055336996</v>
      </c>
      <c r="G30" s="44">
        <f>(Table2567814[[#This Row],[Column14]]+Table2567814[[#This Row],[Column15]])/(SUM(Table2567814[[#This Row],[Column14]:[Column17]]))</f>
        <v>0.9058441558441559</v>
      </c>
      <c r="H30" s="44">
        <f>Table2567814[[#This Row],[Column14]]/(Table2567814[[#This Row],[Column14]]+Table2567814[[#This Row],[Column16]])</f>
        <v>0.99212598425196852</v>
      </c>
      <c r="I30" s="44">
        <f>Table2567814[[#This Row],[Column14]]/(Table2567814[[#This Row],[Column14]]+Table2567814[[#This Row],[Column17]])</f>
        <v>0.81818181818181823</v>
      </c>
      <c r="J30" s="44">
        <f>(2*Table2567814[[#This Row],[Column11]]*Table2567814[[#This Row],[Column12]])/(Table2567814[[#This Row],[Column11]]+Table2567814[[#This Row],[Column12]])</f>
        <v>0.89679715302491103</v>
      </c>
      <c r="K30" s="8">
        <v>126</v>
      </c>
      <c r="L30" s="8">
        <v>153</v>
      </c>
      <c r="M30" s="8">
        <v>1</v>
      </c>
      <c r="N30" s="8">
        <v>28</v>
      </c>
      <c r="O30" s="9"/>
      <c r="R30"/>
    </row>
    <row r="31" spans="1:33" x14ac:dyDescent="0.3">
      <c r="A31" s="8"/>
      <c r="B31" s="8"/>
      <c r="C31" s="8"/>
      <c r="D31" s="8"/>
      <c r="E31" s="8"/>
      <c r="F31" s="44">
        <v>0.84819040125885103</v>
      </c>
      <c r="G31" s="44">
        <f>(Table2567814[[#This Row],[Column14]]+Table2567814[[#This Row],[Column15]])/(SUM(Table2567814[[#This Row],[Column14]:[Column17]]))</f>
        <v>0.9285714285714286</v>
      </c>
      <c r="H31" s="44">
        <f>Table2567814[[#This Row],[Column14]]/(Table2567814[[#This Row],[Column14]]+Table2567814[[#This Row],[Column16]])</f>
        <v>0.97142857142857142</v>
      </c>
      <c r="I31" s="44">
        <f>Table2567814[[#This Row],[Column14]]/(Table2567814[[#This Row],[Column14]]+Table2567814[[#This Row],[Column17]])</f>
        <v>0.88311688311688308</v>
      </c>
      <c r="J31" s="44">
        <f>(2*Table2567814[[#This Row],[Column11]]*Table2567814[[#This Row],[Column12]])/(Table2567814[[#This Row],[Column11]]+Table2567814[[#This Row],[Column12]])</f>
        <v>0.9251700680272108</v>
      </c>
      <c r="K31" s="8">
        <v>136</v>
      </c>
      <c r="L31" s="8">
        <v>150</v>
      </c>
      <c r="M31" s="8">
        <v>4</v>
      </c>
      <c r="N31" s="8">
        <v>18</v>
      </c>
      <c r="O31" s="9"/>
      <c r="R31"/>
    </row>
    <row r="32" spans="1:33" x14ac:dyDescent="0.3">
      <c r="A32" s="7"/>
      <c r="B32" s="8"/>
      <c r="C32" s="8"/>
      <c r="D32" s="8"/>
      <c r="E32" s="8"/>
      <c r="F32" s="48"/>
      <c r="G32" s="46">
        <f>AVERAGE(G26:G31)</f>
        <v>0.91558441558441572</v>
      </c>
      <c r="H32" s="46">
        <f t="shared" ref="H32:J32" si="13">AVERAGE(H26:H31)</f>
        <v>0.97720457162101981</v>
      </c>
      <c r="I32" s="46">
        <f t="shared" si="13"/>
        <v>0.85173160173160178</v>
      </c>
      <c r="J32" s="46">
        <f t="shared" si="13"/>
        <v>0.9097308502016509</v>
      </c>
      <c r="K32" s="8"/>
      <c r="L32" s="8"/>
      <c r="M32" s="8"/>
      <c r="N32" s="8"/>
      <c r="O32" s="9"/>
      <c r="R32"/>
    </row>
    <row r="33" spans="1:18" x14ac:dyDescent="0.3">
      <c r="F33" s="4"/>
    </row>
    <row r="34" spans="1:18" x14ac:dyDescent="0.3">
      <c r="A34" s="8" t="s">
        <v>5</v>
      </c>
      <c r="B34" s="8" t="s">
        <v>15</v>
      </c>
      <c r="C34" s="8">
        <v>10</v>
      </c>
      <c r="D34" s="8">
        <v>8</v>
      </c>
      <c r="E34" s="8">
        <v>7.8125E-3</v>
      </c>
      <c r="F34" s="44">
        <v>0.75321924993443401</v>
      </c>
      <c r="G34" s="44">
        <f>(Table25678913[[#This Row],[Column14]]+Table25678913[[#This Row],[Column15]])/(SUM(Table25678913[[#This Row],[Column14]:[Column17]]))</f>
        <v>0.83766233766233766</v>
      </c>
      <c r="H34" s="44">
        <f>Table25678913[[#This Row],[Column14]]/(Table25678913[[#This Row],[Column14]]+Table25678913[[#This Row],[Column16]])</f>
        <v>0.91269841269841268</v>
      </c>
      <c r="I34" s="44">
        <f>Table25678913[[#This Row],[Column14]]/(Table25678913[[#This Row],[Column14]]+Table25678913[[#This Row],[Column17]])</f>
        <v>0.74675324675324672</v>
      </c>
      <c r="J34" s="44">
        <f>(2*Table25678913[[#This Row],[Column11]]*Table25678913[[#This Row],[Column12]])/(Table25678913[[#This Row],[Column11]]+Table25678913[[#This Row],[Column12]])</f>
        <v>0.8214285714285714</v>
      </c>
      <c r="K34" s="8">
        <v>115</v>
      </c>
      <c r="L34" s="8">
        <v>143</v>
      </c>
      <c r="M34" s="8">
        <v>11</v>
      </c>
      <c r="N34" s="8">
        <v>39</v>
      </c>
      <c r="O34" s="8"/>
      <c r="R34"/>
    </row>
    <row r="35" spans="1:18" x14ac:dyDescent="0.3">
      <c r="A35" s="8"/>
      <c r="B35" s="8"/>
      <c r="C35" s="8"/>
      <c r="D35" s="8"/>
      <c r="E35" s="8"/>
      <c r="F35" s="47">
        <v>0.75006556517178002</v>
      </c>
      <c r="G35" s="44">
        <f>(Table25678913[[#This Row],[Column14]]+Table25678913[[#This Row],[Column15]])/(SUM(Table25678913[[#This Row],[Column14]:[Column17]]))</f>
        <v>0.81493506493506496</v>
      </c>
      <c r="H35" s="44">
        <f>Table25678913[[#This Row],[Column14]]/(Table25678913[[#This Row],[Column14]]+Table25678913[[#This Row],[Column16]])</f>
        <v>0.90082644628099173</v>
      </c>
      <c r="I35" s="44">
        <f>Table25678913[[#This Row],[Column14]]/(Table25678913[[#This Row],[Column14]]+Table25678913[[#This Row],[Column17]])</f>
        <v>0.70779220779220775</v>
      </c>
      <c r="J35" s="44">
        <f>(2*Table25678913[[#This Row],[Column11]]*Table25678913[[#This Row],[Column12]])/(Table25678913[[#This Row],[Column11]]+Table25678913[[#This Row],[Column12]])</f>
        <v>0.79272727272727261</v>
      </c>
      <c r="K35" s="6">
        <v>109</v>
      </c>
      <c r="L35" s="6">
        <v>142</v>
      </c>
      <c r="M35" s="6">
        <v>12</v>
      </c>
      <c r="N35" s="6">
        <v>45</v>
      </c>
      <c r="O35" s="5"/>
      <c r="R35"/>
    </row>
    <row r="36" spans="1:18" x14ac:dyDescent="0.3">
      <c r="A36" s="8"/>
      <c r="B36" s="8"/>
      <c r="C36" s="8"/>
      <c r="D36" s="8"/>
      <c r="E36" s="8"/>
      <c r="F36" s="44">
        <v>0.75007212168895898</v>
      </c>
      <c r="G36" s="44">
        <f>(Table25678913[[#This Row],[Column14]]+Table25678913[[#This Row],[Column15]])/(SUM(Table25678913[[#This Row],[Column14]:[Column17]]))</f>
        <v>0.81818181818181823</v>
      </c>
      <c r="H36" s="44">
        <f>Table25678913[[#This Row],[Column14]]/(Table25678913[[#This Row],[Column14]]+Table25678913[[#This Row],[Column16]])</f>
        <v>0.95370370370370372</v>
      </c>
      <c r="I36" s="44">
        <f>Table25678913[[#This Row],[Column14]]/(Table25678913[[#This Row],[Column14]]+Table25678913[[#This Row],[Column17]])</f>
        <v>0.66883116883116878</v>
      </c>
      <c r="J36" s="44">
        <f>(2*Table25678913[[#This Row],[Column11]]*Table25678913[[#This Row],[Column12]])/(Table25678913[[#This Row],[Column11]]+Table25678913[[#This Row],[Column12]])</f>
        <v>0.7862595419847328</v>
      </c>
      <c r="K36" s="8">
        <v>103</v>
      </c>
      <c r="L36" s="8">
        <v>149</v>
      </c>
      <c r="M36" s="8">
        <v>5</v>
      </c>
      <c r="N36" s="8">
        <v>51</v>
      </c>
      <c r="O36" s="9"/>
      <c r="R36"/>
    </row>
    <row r="37" spans="1:18" x14ac:dyDescent="0.3">
      <c r="A37" s="8"/>
      <c r="B37" s="8"/>
      <c r="C37" s="8"/>
      <c r="D37" s="8"/>
      <c r="E37" s="8"/>
      <c r="F37" s="44">
        <v>0.75491083136637804</v>
      </c>
      <c r="G37" s="44">
        <f>(Table25678913[[#This Row],[Column14]]+Table25678913[[#This Row],[Column15]])/(SUM(Table25678913[[#This Row],[Column14]:[Column17]]))</f>
        <v>0.80844155844155841</v>
      </c>
      <c r="H37" s="44">
        <f>Table25678913[[#This Row],[Column14]]/(Table25678913[[#This Row],[Column14]]+Table25678913[[#This Row],[Column16]])</f>
        <v>0.94392523364485981</v>
      </c>
      <c r="I37" s="44">
        <f>Table25678913[[#This Row],[Column14]]/(Table25678913[[#This Row],[Column14]]+Table25678913[[#This Row],[Column17]])</f>
        <v>0.6558441558441559</v>
      </c>
      <c r="J37" s="44">
        <f>(2*Table25678913[[#This Row],[Column11]]*Table25678913[[#This Row],[Column12]])/(Table25678913[[#This Row],[Column11]]+Table25678913[[#This Row],[Column12]])</f>
        <v>0.7739463601532568</v>
      </c>
      <c r="K37" s="8">
        <v>101</v>
      </c>
      <c r="L37" s="8">
        <v>148</v>
      </c>
      <c r="M37" s="8">
        <v>6</v>
      </c>
      <c r="N37" s="8">
        <v>53</v>
      </c>
      <c r="O37" s="9"/>
      <c r="R37"/>
    </row>
    <row r="38" spans="1:18" x14ac:dyDescent="0.3">
      <c r="A38" s="8"/>
      <c r="B38" s="8"/>
      <c r="C38" s="8"/>
      <c r="D38" s="8"/>
      <c r="E38" s="8"/>
      <c r="F38" s="44">
        <v>0.77929451875163902</v>
      </c>
      <c r="G38" s="44">
        <f>(Table25678913[[#This Row],[Column14]]+Table25678913[[#This Row],[Column15]])/(SUM(Table25678913[[#This Row],[Column14]:[Column17]]))</f>
        <v>0.87662337662337664</v>
      </c>
      <c r="H38" s="44">
        <f>Table25678913[[#This Row],[Column14]]/(Table25678913[[#This Row],[Column14]]+Table25678913[[#This Row],[Column16]])</f>
        <v>0.953125</v>
      </c>
      <c r="I38" s="44">
        <f>Table25678913[[#This Row],[Column14]]/(Table25678913[[#This Row],[Column14]]+Table25678913[[#This Row],[Column17]])</f>
        <v>0.79220779220779225</v>
      </c>
      <c r="J38" s="44">
        <f>(2*Table25678913[[#This Row],[Column11]]*Table25678913[[#This Row],[Column12]])/(Table25678913[[#This Row],[Column11]]+Table25678913[[#This Row],[Column12]])</f>
        <v>0.86524822695035464</v>
      </c>
      <c r="K38" s="8">
        <v>122</v>
      </c>
      <c r="L38" s="8">
        <v>148</v>
      </c>
      <c r="M38" s="8">
        <v>6</v>
      </c>
      <c r="N38" s="8">
        <v>32</v>
      </c>
      <c r="O38" s="9"/>
      <c r="R38"/>
    </row>
    <row r="39" spans="1:18" x14ac:dyDescent="0.3">
      <c r="A39" s="8"/>
      <c r="B39" s="8"/>
      <c r="C39" s="8"/>
      <c r="D39" s="8"/>
      <c r="E39" s="8"/>
      <c r="F39" s="44">
        <v>0.78242197744558095</v>
      </c>
      <c r="G39" s="44">
        <f>(Table25678913[[#This Row],[Column14]]+Table25678913[[#This Row],[Column15]])/(SUM(Table25678913[[#This Row],[Column14]:[Column17]]))</f>
        <v>0.83116883116883122</v>
      </c>
      <c r="H39" s="44">
        <f>Table25678913[[#This Row],[Column14]]/(Table25678913[[#This Row],[Column14]]+Table25678913[[#This Row],[Column16]])</f>
        <v>0.93965517241379315</v>
      </c>
      <c r="I39" s="44">
        <f>Table25678913[[#This Row],[Column14]]/(Table25678913[[#This Row],[Column14]]+Table25678913[[#This Row],[Column17]])</f>
        <v>0.70779220779220775</v>
      </c>
      <c r="J39" s="44">
        <f>(2*Table25678913[[#This Row],[Column11]]*Table25678913[[#This Row],[Column12]])/(Table25678913[[#This Row],[Column11]]+Table25678913[[#This Row],[Column12]])</f>
        <v>0.80740740740740735</v>
      </c>
      <c r="K39" s="8">
        <v>109</v>
      </c>
      <c r="L39" s="8">
        <v>147</v>
      </c>
      <c r="M39" s="8">
        <v>7</v>
      </c>
      <c r="N39" s="8">
        <v>45</v>
      </c>
      <c r="O39" s="9"/>
      <c r="R39"/>
    </row>
    <row r="40" spans="1:18" x14ac:dyDescent="0.3">
      <c r="A40" s="7"/>
      <c r="B40" s="8"/>
      <c r="C40" s="8"/>
      <c r="D40" s="8"/>
      <c r="E40" s="8"/>
      <c r="F40" s="48"/>
      <c r="G40" s="46">
        <f>AVERAGE(G34:G39)</f>
        <v>0.83116883116883133</v>
      </c>
      <c r="H40" s="46">
        <f t="shared" ref="H40:J40" si="14">AVERAGE(H34:H39)</f>
        <v>0.93398899479029363</v>
      </c>
      <c r="I40" s="46">
        <f t="shared" si="14"/>
        <v>0.71320346320346317</v>
      </c>
      <c r="J40" s="46">
        <f t="shared" si="14"/>
        <v>0.8078362301085994</v>
      </c>
      <c r="K40" s="8"/>
      <c r="L40" s="8"/>
      <c r="M40" s="8"/>
      <c r="N40" s="8"/>
      <c r="O40" s="9"/>
      <c r="R40"/>
    </row>
    <row r="41" spans="1:18" x14ac:dyDescent="0.3">
      <c r="F41" s="4"/>
    </row>
    <row r="42" spans="1:18" x14ac:dyDescent="0.3">
      <c r="A42" s="8" t="s">
        <v>6</v>
      </c>
      <c r="B42" s="8" t="s">
        <v>15</v>
      </c>
      <c r="C42" s="8">
        <v>10</v>
      </c>
      <c r="D42" s="8">
        <v>8</v>
      </c>
      <c r="E42" s="8">
        <v>7.8125E-3</v>
      </c>
      <c r="F42" s="44">
        <v>0.69640702858641501</v>
      </c>
      <c r="G42" s="44">
        <f>(Table2567891115[[#This Row],[Column14]]+Table2567891115[[#This Row],[Column15]])/(SUM(Table2567891115[[#This Row],[Column14]:[Column17]]))</f>
        <v>0.79220779220779225</v>
      </c>
      <c r="H42" s="44">
        <f>Table2567891115[[#This Row],[Column14]]/(Table2567891115[[#This Row],[Column14]]+Table2567891115[[#This Row],[Column16]])</f>
        <v>0.89473684210526316</v>
      </c>
      <c r="I42" s="44">
        <f>Table2567891115[[#This Row],[Column14]]/(Table2567891115[[#This Row],[Column14]]+Table2567891115[[#This Row],[Column17]])</f>
        <v>0.66233766233766234</v>
      </c>
      <c r="J42" s="44">
        <f>(2*Table2567891115[[#This Row],[Column11]]*Table2567891115[[#This Row],[Column12]])/(Table2567891115[[#This Row],[Column11]]+Table2567891115[[#This Row],[Column12]])</f>
        <v>0.76119402985074625</v>
      </c>
      <c r="K42" s="8">
        <v>102</v>
      </c>
      <c r="L42" s="8">
        <v>142</v>
      </c>
      <c r="M42" s="8">
        <v>12</v>
      </c>
      <c r="N42" s="8">
        <v>52</v>
      </c>
      <c r="O42" s="8"/>
      <c r="R42"/>
    </row>
    <row r="43" spans="1:18" x14ac:dyDescent="0.3">
      <c r="A43" s="8"/>
      <c r="B43" s="8"/>
      <c r="C43" s="8"/>
      <c r="D43" s="8"/>
      <c r="E43" s="8"/>
      <c r="F43" s="47">
        <v>0.70694335169158096</v>
      </c>
      <c r="G43" s="44">
        <f>(Table2567891115[[#This Row],[Column14]]+Table2567891115[[#This Row],[Column15]])/(SUM(Table2567891115[[#This Row],[Column14]:[Column17]]))</f>
        <v>0.75974025974025972</v>
      </c>
      <c r="H43" s="44">
        <f>Table2567891115[[#This Row],[Column14]]/(Table2567891115[[#This Row],[Column14]]+Table2567891115[[#This Row],[Column16]])</f>
        <v>0.87735849056603776</v>
      </c>
      <c r="I43" s="44">
        <f>Table2567891115[[#This Row],[Column14]]/(Table2567891115[[#This Row],[Column14]]+Table2567891115[[#This Row],[Column17]])</f>
        <v>0.60389610389610393</v>
      </c>
      <c r="J43" s="44">
        <f>(2*Table2567891115[[#This Row],[Column11]]*Table2567891115[[#This Row],[Column12]])/(Table2567891115[[#This Row],[Column11]]+Table2567891115[[#This Row],[Column12]])</f>
        <v>0.7153846153846154</v>
      </c>
      <c r="K43" s="6">
        <v>93</v>
      </c>
      <c r="L43" s="6">
        <v>141</v>
      </c>
      <c r="M43" s="6">
        <v>13</v>
      </c>
      <c r="N43" s="6">
        <v>61</v>
      </c>
      <c r="O43" s="5"/>
      <c r="R43"/>
    </row>
    <row r="44" spans="1:18" x14ac:dyDescent="0.3">
      <c r="A44" s="8"/>
      <c r="B44" s="8"/>
      <c r="C44" s="8"/>
      <c r="D44" s="8"/>
      <c r="E44" s="8"/>
      <c r="F44" s="44">
        <v>0.68012063991607596</v>
      </c>
      <c r="G44" s="44">
        <f>(Table2567891115[[#This Row],[Column14]]+Table2567891115[[#This Row],[Column15]])/(SUM(Table2567891115[[#This Row],[Column14]:[Column17]]))</f>
        <v>0.74025974025974028</v>
      </c>
      <c r="H44" s="44">
        <f>Table2567891115[[#This Row],[Column14]]/(Table2567891115[[#This Row],[Column14]]+Table2567891115[[#This Row],[Column16]])</f>
        <v>0.8936170212765957</v>
      </c>
      <c r="I44" s="44">
        <f>Table2567891115[[#This Row],[Column14]]/(Table2567891115[[#This Row],[Column14]]+Table2567891115[[#This Row],[Column17]])</f>
        <v>0.54545454545454541</v>
      </c>
      <c r="J44" s="44">
        <f>(2*Table2567891115[[#This Row],[Column11]]*Table2567891115[[#This Row],[Column12]])/(Table2567891115[[#This Row],[Column11]]+Table2567891115[[#This Row],[Column12]])</f>
        <v>0.67741935483870963</v>
      </c>
      <c r="K44" s="8">
        <v>84</v>
      </c>
      <c r="L44" s="8">
        <v>144</v>
      </c>
      <c r="M44" s="8">
        <v>10</v>
      </c>
      <c r="N44" s="8">
        <v>70</v>
      </c>
      <c r="O44" s="9"/>
      <c r="R44"/>
    </row>
    <row r="45" spans="1:18" x14ac:dyDescent="0.3">
      <c r="A45" s="8"/>
      <c r="B45" s="8"/>
      <c r="C45" s="8"/>
      <c r="D45" s="8"/>
      <c r="E45" s="8"/>
      <c r="F45" s="44">
        <v>0.69232887490165196</v>
      </c>
      <c r="G45" s="44">
        <f>(Table2567891115[[#This Row],[Column14]]+Table2567891115[[#This Row],[Column15]])/(SUM(Table2567891115[[#This Row],[Column14]:[Column17]]))</f>
        <v>0.7142857142857143</v>
      </c>
      <c r="H45" s="44">
        <f>Table2567891115[[#This Row],[Column14]]/(Table2567891115[[#This Row],[Column14]]+Table2567891115[[#This Row],[Column16]])</f>
        <v>0.85869565217391308</v>
      </c>
      <c r="I45" s="44">
        <f>Table2567891115[[#This Row],[Column14]]/(Table2567891115[[#This Row],[Column14]]+Table2567891115[[#This Row],[Column17]])</f>
        <v>0.51298701298701299</v>
      </c>
      <c r="J45" s="44">
        <f>(2*Table2567891115[[#This Row],[Column11]]*Table2567891115[[#This Row],[Column12]])/(Table2567891115[[#This Row],[Column11]]+Table2567891115[[#This Row],[Column12]])</f>
        <v>0.64227642276422758</v>
      </c>
      <c r="K45" s="8">
        <v>79</v>
      </c>
      <c r="L45" s="8">
        <v>141</v>
      </c>
      <c r="M45" s="8">
        <v>13</v>
      </c>
      <c r="N45" s="8">
        <v>75</v>
      </c>
      <c r="O45" s="9"/>
      <c r="R45"/>
    </row>
    <row r="46" spans="1:18" x14ac:dyDescent="0.3">
      <c r="A46" s="8"/>
      <c r="B46" s="8"/>
      <c r="C46" s="8"/>
      <c r="D46" s="8"/>
      <c r="E46" s="8"/>
      <c r="F46" s="44">
        <v>0.71993181222134806</v>
      </c>
      <c r="G46" s="44">
        <f>(Table2567891115[[#This Row],[Column14]]+Table2567891115[[#This Row],[Column15]])/(SUM(Table2567891115[[#This Row],[Column14]:[Column17]]))</f>
        <v>0.74675324675324672</v>
      </c>
      <c r="H46" s="44">
        <f>Table2567891115[[#This Row],[Column14]]/(Table2567891115[[#This Row],[Column14]]+Table2567891115[[#This Row],[Column16]])</f>
        <v>0.88775510204081631</v>
      </c>
      <c r="I46" s="44">
        <f>Table2567891115[[#This Row],[Column14]]/(Table2567891115[[#This Row],[Column14]]+Table2567891115[[#This Row],[Column17]])</f>
        <v>0.56493506493506496</v>
      </c>
      <c r="J46" s="44">
        <f>(2*Table2567891115[[#This Row],[Column11]]*Table2567891115[[#This Row],[Column12]])/(Table2567891115[[#This Row],[Column11]]+Table2567891115[[#This Row],[Column12]])</f>
        <v>0.69047619047619047</v>
      </c>
      <c r="K46" s="8">
        <v>87</v>
      </c>
      <c r="L46" s="8">
        <v>143</v>
      </c>
      <c r="M46" s="8">
        <v>11</v>
      </c>
      <c r="N46" s="8">
        <v>67</v>
      </c>
      <c r="O46" s="9"/>
      <c r="R46"/>
    </row>
    <row r="47" spans="1:18" x14ac:dyDescent="0.3">
      <c r="A47" s="8"/>
      <c r="B47" s="8"/>
      <c r="C47" s="8"/>
      <c r="D47" s="8"/>
      <c r="E47" s="8"/>
      <c r="F47" s="44">
        <v>0.70125885129818999</v>
      </c>
      <c r="G47" s="44">
        <f>(Table2567891115[[#This Row],[Column14]]+Table2567891115[[#This Row],[Column15]])/(SUM(Table2567891115[[#This Row],[Column14]:[Column17]]))</f>
        <v>0.77597402597402598</v>
      </c>
      <c r="H47" s="44">
        <f>Table2567891115[[#This Row],[Column14]]/(Table2567891115[[#This Row],[Column14]]+Table2567891115[[#This Row],[Column16]])</f>
        <v>0.86324786324786329</v>
      </c>
      <c r="I47" s="44">
        <f>Table2567891115[[#This Row],[Column14]]/(Table2567891115[[#This Row],[Column14]]+Table2567891115[[#This Row],[Column17]])</f>
        <v>0.6558441558441559</v>
      </c>
      <c r="J47" s="44">
        <f>(2*Table2567891115[[#This Row],[Column11]]*Table2567891115[[#This Row],[Column12]])/(Table2567891115[[#This Row],[Column11]]+Table2567891115[[#This Row],[Column12]])</f>
        <v>0.74538745387453875</v>
      </c>
      <c r="K47" s="8">
        <v>101</v>
      </c>
      <c r="L47" s="8">
        <v>138</v>
      </c>
      <c r="M47" s="8">
        <v>16</v>
      </c>
      <c r="N47" s="8">
        <v>53</v>
      </c>
      <c r="O47" s="9"/>
      <c r="R47"/>
    </row>
    <row r="48" spans="1:18" x14ac:dyDescent="0.3">
      <c r="A48" s="7"/>
      <c r="B48" s="8"/>
      <c r="C48" s="8"/>
      <c r="D48" s="8"/>
      <c r="E48" s="8"/>
      <c r="F48" s="48"/>
      <c r="G48" s="46">
        <f>AVERAGE(G42:G47)</f>
        <v>0.7548701298701298</v>
      </c>
      <c r="H48" s="46">
        <f t="shared" ref="H48:J48" si="15">AVERAGE(H42:H47)</f>
        <v>0.87923516190174811</v>
      </c>
      <c r="I48" s="46">
        <f t="shared" si="15"/>
        <v>0.59090909090909094</v>
      </c>
      <c r="J48" s="46">
        <f t="shared" si="15"/>
        <v>0.70535634453150464</v>
      </c>
      <c r="K48" s="8"/>
      <c r="L48" s="8"/>
      <c r="M48" s="8"/>
      <c r="N48" s="8"/>
      <c r="O48" s="9"/>
      <c r="R48"/>
    </row>
    <row r="49" spans="1:18" x14ac:dyDescent="0.3">
      <c r="F49" s="4"/>
    </row>
    <row r="50" spans="1:18" x14ac:dyDescent="0.3">
      <c r="A50" s="8" t="s">
        <v>7</v>
      </c>
      <c r="B50" s="8" t="s">
        <v>15</v>
      </c>
      <c r="C50" s="8">
        <v>10</v>
      </c>
      <c r="D50" s="8">
        <v>8</v>
      </c>
      <c r="E50" s="8">
        <v>7.8125E-3</v>
      </c>
      <c r="F50" s="44">
        <v>0.55109493836873802</v>
      </c>
      <c r="G50" s="44">
        <f>(Table256789111216[[#This Row],[Column14]]+Table256789111216[[#This Row],[Column15]])/(SUM(Table256789111216[[#This Row],[Column14]:[Column17]]))</f>
        <v>0.60389610389610393</v>
      </c>
      <c r="H50" s="44">
        <f>Table256789111216[[#This Row],[Column14]]/(Table256789111216[[#This Row],[Column14]]+Table256789111216[[#This Row],[Column16]])</f>
        <v>0.67777777777777781</v>
      </c>
      <c r="I50" s="44">
        <f>Table256789111216[[#This Row],[Column14]]/(Table256789111216[[#This Row],[Column14]]+Table256789111216[[#This Row],[Column17]])</f>
        <v>0.39610389610389612</v>
      </c>
      <c r="J50" s="44">
        <f>(2*Table256789111216[[#This Row],[Column11]]*Table256789111216[[#This Row],[Column12]])/(Table256789111216[[#This Row],[Column11]]+Table256789111216[[#This Row],[Column12]])</f>
        <v>0.50000000000000011</v>
      </c>
      <c r="K50" s="8">
        <v>61</v>
      </c>
      <c r="L50" s="8">
        <v>125</v>
      </c>
      <c r="M50" s="8">
        <v>29</v>
      </c>
      <c r="N50" s="8">
        <v>93</v>
      </c>
      <c r="O50" s="8"/>
      <c r="R50"/>
    </row>
    <row r="51" spans="1:18" x14ac:dyDescent="0.3">
      <c r="A51" s="8"/>
      <c r="B51" s="8"/>
      <c r="C51" s="8"/>
      <c r="D51" s="8"/>
      <c r="E51" s="8"/>
      <c r="F51" s="47">
        <v>0.54053894571203698</v>
      </c>
      <c r="G51" s="44">
        <f>(Table256789111216[[#This Row],[Column14]]+Table256789111216[[#This Row],[Column15]])/(SUM(Table256789111216[[#This Row],[Column14]:[Column17]]))</f>
        <v>0.59090909090909094</v>
      </c>
      <c r="H51" s="44">
        <f>Table256789111216[[#This Row],[Column14]]/(Table256789111216[[#This Row],[Column14]]+Table256789111216[[#This Row],[Column16]])</f>
        <v>0.64583333333333337</v>
      </c>
      <c r="I51" s="44">
        <f>Table256789111216[[#This Row],[Column14]]/(Table256789111216[[#This Row],[Column14]]+Table256789111216[[#This Row],[Column17]])</f>
        <v>0.40259740259740262</v>
      </c>
      <c r="J51" s="44">
        <f>(2*Table256789111216[[#This Row],[Column11]]*Table256789111216[[#This Row],[Column12]])/(Table256789111216[[#This Row],[Column11]]+Table256789111216[[#This Row],[Column12]])</f>
        <v>0.49599999999999994</v>
      </c>
      <c r="K51" s="6">
        <v>62</v>
      </c>
      <c r="L51" s="6">
        <v>120</v>
      </c>
      <c r="M51" s="6">
        <v>34</v>
      </c>
      <c r="N51" s="6">
        <v>92</v>
      </c>
      <c r="O51" s="5"/>
      <c r="R51"/>
    </row>
    <row r="52" spans="1:18" x14ac:dyDescent="0.3">
      <c r="A52" s="8"/>
      <c r="B52" s="8"/>
      <c r="C52" s="8"/>
      <c r="D52" s="8"/>
      <c r="E52" s="8"/>
      <c r="F52" s="44">
        <v>0.55835955940204496</v>
      </c>
      <c r="G52" s="44">
        <f>(Table256789111216[[#This Row],[Column14]]+Table256789111216[[#This Row],[Column15]])/(SUM(Table256789111216[[#This Row],[Column14]:[Column17]]))</f>
        <v>0.63636363636363635</v>
      </c>
      <c r="H52" s="44">
        <f>Table256789111216[[#This Row],[Column14]]/(Table256789111216[[#This Row],[Column14]]+Table256789111216[[#This Row],[Column16]])</f>
        <v>0.7142857142857143</v>
      </c>
      <c r="I52" s="44">
        <f>Table256789111216[[#This Row],[Column14]]/(Table256789111216[[#This Row],[Column14]]+Table256789111216[[#This Row],[Column17]])</f>
        <v>0.45454545454545453</v>
      </c>
      <c r="J52" s="44">
        <f>(2*Table256789111216[[#This Row],[Column11]]*Table256789111216[[#This Row],[Column12]])/(Table256789111216[[#This Row],[Column11]]+Table256789111216[[#This Row],[Column12]])</f>
        <v>0.55555555555555558</v>
      </c>
      <c r="K52" s="8">
        <v>70</v>
      </c>
      <c r="L52" s="8">
        <v>126</v>
      </c>
      <c r="M52" s="8">
        <v>28</v>
      </c>
      <c r="N52" s="8">
        <v>84</v>
      </c>
      <c r="O52" s="9"/>
      <c r="R52"/>
    </row>
    <row r="53" spans="1:18" x14ac:dyDescent="0.3">
      <c r="A53" s="8"/>
      <c r="B53" s="8"/>
      <c r="C53" s="8"/>
      <c r="D53" s="8"/>
      <c r="E53" s="8"/>
      <c r="F53" s="44">
        <v>0.53243509047993698</v>
      </c>
      <c r="G53" s="44">
        <f>(Table256789111216[[#This Row],[Column14]]+Table256789111216[[#This Row],[Column15]])/(SUM(Table256789111216[[#This Row],[Column14]:[Column17]]))</f>
        <v>0.5714285714285714</v>
      </c>
      <c r="H53" s="44">
        <f>Table256789111216[[#This Row],[Column14]]/(Table256789111216[[#This Row],[Column14]]+Table256789111216[[#This Row],[Column16]])</f>
        <v>0.625</v>
      </c>
      <c r="I53" s="44">
        <f>Table256789111216[[#This Row],[Column14]]/(Table256789111216[[#This Row],[Column14]]+Table256789111216[[#This Row],[Column17]])</f>
        <v>0.35714285714285715</v>
      </c>
      <c r="J53" s="44">
        <f>(2*Table256789111216[[#This Row],[Column11]]*Table256789111216[[#This Row],[Column12]])/(Table256789111216[[#This Row],[Column11]]+Table256789111216[[#This Row],[Column12]])</f>
        <v>0.45454545454545453</v>
      </c>
      <c r="K53" s="8">
        <v>55</v>
      </c>
      <c r="L53" s="8">
        <v>121</v>
      </c>
      <c r="M53" s="8">
        <v>33</v>
      </c>
      <c r="N53" s="8">
        <v>99</v>
      </c>
      <c r="O53" s="9"/>
      <c r="R53"/>
    </row>
    <row r="54" spans="1:18" x14ac:dyDescent="0.3">
      <c r="A54" s="8"/>
      <c r="B54" s="8"/>
      <c r="C54" s="8"/>
      <c r="D54" s="8"/>
      <c r="E54" s="8"/>
      <c r="F54" s="44">
        <v>0.54137817991083104</v>
      </c>
      <c r="G54" s="44">
        <f>(Table256789111216[[#This Row],[Column14]]+Table256789111216[[#This Row],[Column15]])/(SUM(Table256789111216[[#This Row],[Column14]:[Column17]]))</f>
        <v>0.59740259740259738</v>
      </c>
      <c r="H54" s="44">
        <f>Table256789111216[[#This Row],[Column14]]/(Table256789111216[[#This Row],[Column14]]+Table256789111216[[#This Row],[Column16]])</f>
        <v>0.69230769230769229</v>
      </c>
      <c r="I54" s="44">
        <f>Table256789111216[[#This Row],[Column14]]/(Table256789111216[[#This Row],[Column14]]+Table256789111216[[#This Row],[Column17]])</f>
        <v>0.35064935064935066</v>
      </c>
      <c r="J54" s="44">
        <f>(2*Table256789111216[[#This Row],[Column11]]*Table256789111216[[#This Row],[Column12]])/(Table256789111216[[#This Row],[Column11]]+Table256789111216[[#This Row],[Column12]])</f>
        <v>0.46551724137931033</v>
      </c>
      <c r="K54" s="8">
        <v>54</v>
      </c>
      <c r="L54" s="8">
        <v>130</v>
      </c>
      <c r="M54" s="8">
        <v>24</v>
      </c>
      <c r="N54" s="8">
        <v>100</v>
      </c>
      <c r="O54" s="9"/>
      <c r="R54"/>
    </row>
    <row r="55" spans="1:18" x14ac:dyDescent="0.3">
      <c r="A55" s="8"/>
      <c r="B55" s="8"/>
      <c r="C55" s="8"/>
      <c r="D55" s="8"/>
      <c r="E55" s="8"/>
      <c r="F55" s="44">
        <v>0.53884080776291599</v>
      </c>
      <c r="G55" s="44">
        <f>(Table256789111216[[#This Row],[Column14]]+Table256789111216[[#This Row],[Column15]])/(SUM(Table256789111216[[#This Row],[Column14]:[Column17]]))</f>
        <v>0.59090909090909094</v>
      </c>
      <c r="H55" s="44">
        <f>Table256789111216[[#This Row],[Column14]]/(Table256789111216[[#This Row],[Column14]]+Table256789111216[[#This Row],[Column16]])</f>
        <v>0.67948717948717952</v>
      </c>
      <c r="I55" s="44">
        <f>Table256789111216[[#This Row],[Column14]]/(Table256789111216[[#This Row],[Column14]]+Table256789111216[[#This Row],[Column17]])</f>
        <v>0.34415584415584416</v>
      </c>
      <c r="J55" s="44">
        <f>(2*Table256789111216[[#This Row],[Column11]]*Table256789111216[[#This Row],[Column12]])/(Table256789111216[[#This Row],[Column11]]+Table256789111216[[#This Row],[Column12]])</f>
        <v>0.45689655172413796</v>
      </c>
      <c r="K55" s="8">
        <v>53</v>
      </c>
      <c r="L55" s="8">
        <v>129</v>
      </c>
      <c r="M55" s="8">
        <v>25</v>
      </c>
      <c r="N55" s="8">
        <v>101</v>
      </c>
      <c r="O55" s="9"/>
      <c r="R55"/>
    </row>
    <row r="56" spans="1:18" x14ac:dyDescent="0.3">
      <c r="A56" s="7"/>
      <c r="B56" s="8"/>
      <c r="C56" s="8"/>
      <c r="D56" s="8"/>
      <c r="E56" s="8"/>
      <c r="F56" s="48"/>
      <c r="G56" s="46">
        <f>AVERAGE(G50:G55)</f>
        <v>0.59848484848484851</v>
      </c>
      <c r="H56" s="46">
        <f t="shared" ref="H56:J56" si="16">AVERAGE(H50:H55)</f>
        <v>0.67244861619861629</v>
      </c>
      <c r="I56" s="46">
        <f t="shared" si="16"/>
        <v>0.38419913419913421</v>
      </c>
      <c r="J56" s="46">
        <f t="shared" si="16"/>
        <v>0.48808580053407641</v>
      </c>
      <c r="K56" s="8"/>
      <c r="L56" s="8"/>
      <c r="M56" s="8"/>
      <c r="N56" s="8"/>
      <c r="O56" s="9"/>
      <c r="R56"/>
    </row>
  </sheetData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2551-7FB6-4F79-968A-0A13A05D3CDA}">
  <dimension ref="C4:Q50"/>
  <sheetViews>
    <sheetView tabSelected="1" topLeftCell="A33" workbookViewId="0">
      <selection activeCell="M35" sqref="M35"/>
    </sheetView>
  </sheetViews>
  <sheetFormatPr defaultRowHeight="14.4" x14ac:dyDescent="0.3"/>
  <sheetData>
    <row r="4" spans="4:6" x14ac:dyDescent="0.3">
      <c r="D4" t="s">
        <v>61</v>
      </c>
    </row>
    <row r="5" spans="4:6" x14ac:dyDescent="0.3">
      <c r="D5" t="s">
        <v>19</v>
      </c>
      <c r="E5" t="s">
        <v>59</v>
      </c>
      <c r="F5" t="s">
        <v>60</v>
      </c>
    </row>
    <row r="6" spans="4:6" x14ac:dyDescent="0.3">
      <c r="D6" t="s">
        <v>1</v>
      </c>
      <c r="E6">
        <v>9.4500000000000001E-2</v>
      </c>
      <c r="F6">
        <v>0.17050000000000001</v>
      </c>
    </row>
    <row r="7" spans="4:6" x14ac:dyDescent="0.3">
      <c r="D7" t="s">
        <v>2</v>
      </c>
      <c r="E7">
        <v>9.0800000000000006E-2</v>
      </c>
      <c r="F7">
        <v>0.1439</v>
      </c>
    </row>
    <row r="8" spans="4:6" x14ac:dyDescent="0.3">
      <c r="D8" t="s">
        <v>3</v>
      </c>
      <c r="E8">
        <v>8.4900000000000003E-2</v>
      </c>
      <c r="F8">
        <v>0.15179999999999999</v>
      </c>
    </row>
    <row r="9" spans="4:6" x14ac:dyDescent="0.3">
      <c r="D9" t="s">
        <v>4</v>
      </c>
      <c r="E9">
        <v>8.6800000000000002E-2</v>
      </c>
      <c r="F9">
        <v>0.14399999999999999</v>
      </c>
    </row>
    <row r="10" spans="4:6" x14ac:dyDescent="0.3">
      <c r="D10" t="s">
        <v>5</v>
      </c>
      <c r="E10">
        <v>0.106</v>
      </c>
      <c r="F10">
        <v>0.19059999999999999</v>
      </c>
    </row>
    <row r="11" spans="4:6" x14ac:dyDescent="0.3">
      <c r="D11" t="s">
        <v>6</v>
      </c>
      <c r="E11">
        <v>8.2299999999999998E-2</v>
      </c>
      <c r="F11">
        <v>0.1825</v>
      </c>
    </row>
    <row r="12" spans="4:6" x14ac:dyDescent="0.3">
      <c r="D12" t="s">
        <v>7</v>
      </c>
      <c r="E12">
        <v>7.0499999999999993E-2</v>
      </c>
      <c r="F12">
        <v>0.15340000000000001</v>
      </c>
    </row>
    <row r="20" spans="4:6" x14ac:dyDescent="0.3">
      <c r="D20" t="s">
        <v>62</v>
      </c>
    </row>
    <row r="21" spans="4:6" x14ac:dyDescent="0.3">
      <c r="D21" t="s">
        <v>19</v>
      </c>
      <c r="E21" t="s">
        <v>59</v>
      </c>
      <c r="F21" t="s">
        <v>60</v>
      </c>
    </row>
    <row r="22" spans="4:6" x14ac:dyDescent="0.3">
      <c r="D22" t="s">
        <v>1</v>
      </c>
      <c r="E22">
        <v>6.9999999999999999E-4</v>
      </c>
      <c r="F22">
        <v>5.3800000000000001E-2</v>
      </c>
    </row>
    <row r="23" spans="4:6" x14ac:dyDescent="0.3">
      <c r="D23" t="s">
        <v>2</v>
      </c>
      <c r="E23">
        <v>6.9999999999999999E-4</v>
      </c>
      <c r="F23">
        <v>6.7500000000000004E-2</v>
      </c>
    </row>
    <row r="24" spans="4:6" x14ac:dyDescent="0.3">
      <c r="D24" t="s">
        <v>3</v>
      </c>
      <c r="E24">
        <v>6.9999999999999999E-4</v>
      </c>
      <c r="F24">
        <v>7.1999999999999995E-2</v>
      </c>
    </row>
    <row r="25" spans="4:6" x14ac:dyDescent="0.3">
      <c r="D25" t="s">
        <v>4</v>
      </c>
      <c r="E25">
        <v>8.9999999999999998E-4</v>
      </c>
      <c r="F25">
        <v>7.0499999999999993E-2</v>
      </c>
    </row>
    <row r="26" spans="4:6" x14ac:dyDescent="0.3">
      <c r="D26" t="s">
        <v>5</v>
      </c>
      <c r="E26">
        <v>6.9999999999999999E-4</v>
      </c>
      <c r="F26">
        <v>5.9700000000000003E-2</v>
      </c>
    </row>
    <row r="27" spans="4:6" x14ac:dyDescent="0.3">
      <c r="D27" t="s">
        <v>6</v>
      </c>
      <c r="E27">
        <v>5.9999999999999995E-4</v>
      </c>
      <c r="F27">
        <v>7.4099999999999999E-2</v>
      </c>
    </row>
    <row r="28" spans="4:6" x14ac:dyDescent="0.3">
      <c r="D28" t="s">
        <v>7</v>
      </c>
      <c r="E28">
        <v>-1.4E-3</v>
      </c>
      <c r="F28">
        <v>3.6900000000000002E-2</v>
      </c>
    </row>
    <row r="35" spans="3:17" x14ac:dyDescent="0.3">
      <c r="D35">
        <v>6</v>
      </c>
      <c r="E35">
        <v>6</v>
      </c>
      <c r="F35">
        <v>5</v>
      </c>
      <c r="G35">
        <v>6</v>
      </c>
      <c r="H35">
        <v>7</v>
      </c>
      <c r="I35">
        <v>9</v>
      </c>
      <c r="J35">
        <v>9</v>
      </c>
      <c r="K35">
        <v>6</v>
      </c>
      <c r="L35">
        <f>SUM(D35:K35)</f>
        <v>54</v>
      </c>
      <c r="M35">
        <f>L35/8</f>
        <v>6.75</v>
      </c>
    </row>
    <row r="36" spans="3:17" x14ac:dyDescent="0.3">
      <c r="C36" t="s">
        <v>19</v>
      </c>
      <c r="D36" t="s">
        <v>65</v>
      </c>
      <c r="E36" t="s">
        <v>64</v>
      </c>
      <c r="F36" t="s">
        <v>63</v>
      </c>
      <c r="G36" t="s">
        <v>66</v>
      </c>
      <c r="H36" t="s">
        <v>67</v>
      </c>
      <c r="I36" t="s">
        <v>68</v>
      </c>
      <c r="J36" t="s">
        <v>69</v>
      </c>
      <c r="K36" t="s">
        <v>70</v>
      </c>
      <c r="L36" t="s">
        <v>71</v>
      </c>
    </row>
    <row r="37" spans="3:17" x14ac:dyDescent="0.3">
      <c r="C37" t="s">
        <v>1</v>
      </c>
      <c r="D37">
        <v>7.5999999999999998E-2</v>
      </c>
      <c r="E37">
        <v>5.3100000000000001E-2</v>
      </c>
      <c r="F37">
        <v>5.4199999999999998E-2</v>
      </c>
      <c r="G37">
        <v>5.21E-2</v>
      </c>
      <c r="H37">
        <v>2.5100000000000001E-2</v>
      </c>
      <c r="I37">
        <v>2.7699999999999999E-2</v>
      </c>
      <c r="J37">
        <v>2.5899999999999999E-2</v>
      </c>
      <c r="K37">
        <v>2.86E-2</v>
      </c>
      <c r="Q37" t="s">
        <v>72</v>
      </c>
    </row>
    <row r="38" spans="3:17" x14ac:dyDescent="0.3">
      <c r="D38">
        <f>D37*6</f>
        <v>0.45599999999999996</v>
      </c>
      <c r="E38">
        <f>E37*6</f>
        <v>0.31859999999999999</v>
      </c>
      <c r="F38">
        <f>F37*5</f>
        <v>0.27100000000000002</v>
      </c>
      <c r="G38">
        <f>G37*6</f>
        <v>0.31259999999999999</v>
      </c>
      <c r="H38">
        <f>H37*7</f>
        <v>0.1757</v>
      </c>
      <c r="I38">
        <f>I37*9</f>
        <v>0.24929999999999999</v>
      </c>
      <c r="J38">
        <f>J37*9</f>
        <v>0.2331</v>
      </c>
      <c r="K38">
        <f>K37*6</f>
        <v>0.1716</v>
      </c>
      <c r="L38">
        <f>SUM(D38:K38)/55</f>
        <v>3.9779999999999996E-2</v>
      </c>
      <c r="P38" t="s">
        <v>1</v>
      </c>
      <c r="Q38">
        <v>3.9779999999999996E-2</v>
      </c>
    </row>
    <row r="39" spans="3:17" x14ac:dyDescent="0.3">
      <c r="C39" t="s">
        <v>2</v>
      </c>
      <c r="D39">
        <v>5.3100000000000001E-2</v>
      </c>
      <c r="E39">
        <v>6.6799999999999998E-2</v>
      </c>
      <c r="F39">
        <v>5.3199999999999997E-2</v>
      </c>
      <c r="G39">
        <v>6.3600000000000004E-2</v>
      </c>
      <c r="H39">
        <v>3.6799999999999999E-2</v>
      </c>
      <c r="I39">
        <v>2.5100000000000001E-2</v>
      </c>
      <c r="J39">
        <v>1.4800000000000001E-2</v>
      </c>
      <c r="K39">
        <v>3.2800000000000003E-2</v>
      </c>
      <c r="P39" t="s">
        <v>2</v>
      </c>
      <c r="Q39">
        <v>3.9645454545454546E-2</v>
      </c>
    </row>
    <row r="40" spans="3:17" x14ac:dyDescent="0.3">
      <c r="D40">
        <f>D39*6</f>
        <v>0.31859999999999999</v>
      </c>
      <c r="E40">
        <f>E39*6</f>
        <v>0.40079999999999999</v>
      </c>
      <c r="F40">
        <f>F39*5</f>
        <v>0.26600000000000001</v>
      </c>
      <c r="G40">
        <f>G39*6</f>
        <v>0.38160000000000005</v>
      </c>
      <c r="H40">
        <f>H39*7</f>
        <v>0.2576</v>
      </c>
      <c r="I40">
        <f>I39*9</f>
        <v>0.22590000000000002</v>
      </c>
      <c r="J40">
        <f>J39*9</f>
        <v>0.13320000000000001</v>
      </c>
      <c r="K40">
        <f>K39*6</f>
        <v>0.19680000000000003</v>
      </c>
      <c r="L40">
        <f>SUM(D40:K40)/55</f>
        <v>3.9645454545454546E-2</v>
      </c>
      <c r="P40" t="s">
        <v>3</v>
      </c>
      <c r="Q40">
        <v>4.0610909090909093E-2</v>
      </c>
    </row>
    <row r="41" spans="3:17" x14ac:dyDescent="0.3">
      <c r="C41" t="s">
        <v>3</v>
      </c>
      <c r="D41">
        <v>6.6799999999999998E-2</v>
      </c>
      <c r="E41">
        <v>7.1300000000000002E-2</v>
      </c>
      <c r="F41">
        <v>6.2700000000000006E-2</v>
      </c>
      <c r="G41">
        <v>7.0499999999999993E-2</v>
      </c>
      <c r="H41">
        <v>2.3199999999999998E-2</v>
      </c>
      <c r="I41">
        <v>2.1100000000000001E-2</v>
      </c>
      <c r="J41">
        <v>1.5599999999999999E-2</v>
      </c>
      <c r="K41">
        <v>2.93E-2</v>
      </c>
      <c r="P41" t="s">
        <v>4</v>
      </c>
      <c r="Q41">
        <v>4.455636363636363E-2</v>
      </c>
    </row>
    <row r="42" spans="3:17" x14ac:dyDescent="0.3">
      <c r="D42">
        <f>D41*6</f>
        <v>0.40079999999999999</v>
      </c>
      <c r="E42">
        <f>E41*6</f>
        <v>0.42780000000000001</v>
      </c>
      <c r="F42">
        <f>F41*5</f>
        <v>0.3135</v>
      </c>
      <c r="G42">
        <f>G41*6</f>
        <v>0.42299999999999993</v>
      </c>
      <c r="H42">
        <f>H41*7</f>
        <v>0.16239999999999999</v>
      </c>
      <c r="I42">
        <f>I41*9</f>
        <v>0.18990000000000001</v>
      </c>
      <c r="J42">
        <f>J41*9</f>
        <v>0.1404</v>
      </c>
      <c r="K42">
        <f>K41*6</f>
        <v>0.17580000000000001</v>
      </c>
      <c r="L42">
        <f>SUM(D42:K42)/55</f>
        <v>4.0610909090909093E-2</v>
      </c>
      <c r="P42" t="s">
        <v>5</v>
      </c>
      <c r="Q42">
        <v>4.6934545454545451E-2</v>
      </c>
    </row>
    <row r="43" spans="3:17" x14ac:dyDescent="0.3">
      <c r="C43" t="s">
        <v>4</v>
      </c>
      <c r="D43">
        <v>5.7099999999999998E-2</v>
      </c>
      <c r="E43">
        <v>6.9699999999999998E-2</v>
      </c>
      <c r="F43">
        <v>7.5999999999999998E-2</v>
      </c>
      <c r="G43">
        <v>6.6600000000000006E-2</v>
      </c>
      <c r="H43">
        <v>2.2800000000000001E-2</v>
      </c>
      <c r="I43">
        <v>3.6700000000000003E-2</v>
      </c>
      <c r="J43">
        <v>2.3699999999999999E-2</v>
      </c>
      <c r="K43">
        <v>3.4500000000000003E-2</v>
      </c>
      <c r="P43" t="s">
        <v>6</v>
      </c>
      <c r="Q43">
        <v>5.1249090909090918E-2</v>
      </c>
    </row>
    <row r="44" spans="3:17" x14ac:dyDescent="0.3">
      <c r="D44">
        <f>D43*6</f>
        <v>0.34260000000000002</v>
      </c>
      <c r="E44">
        <f>E43*6</f>
        <v>0.41820000000000002</v>
      </c>
      <c r="F44">
        <f>F43*5</f>
        <v>0.38</v>
      </c>
      <c r="G44">
        <f>G43*6</f>
        <v>0.39960000000000007</v>
      </c>
      <c r="H44">
        <f>H43*7</f>
        <v>0.15960000000000002</v>
      </c>
      <c r="I44">
        <f>I43*9</f>
        <v>0.33030000000000004</v>
      </c>
      <c r="J44">
        <f>J43*9</f>
        <v>0.21329999999999999</v>
      </c>
      <c r="K44">
        <f>K43*6</f>
        <v>0.20700000000000002</v>
      </c>
      <c r="L44">
        <f>SUM(D44:K44)/55</f>
        <v>4.455636363636363E-2</v>
      </c>
      <c r="P44" t="s">
        <v>7</v>
      </c>
      <c r="Q44">
        <v>0.43884363636363638</v>
      </c>
    </row>
    <row r="45" spans="3:17" x14ac:dyDescent="0.3">
      <c r="C45" t="s">
        <v>5</v>
      </c>
      <c r="D45">
        <v>8.4599999999999995E-2</v>
      </c>
      <c r="E45">
        <v>5.8999999999999997E-2</v>
      </c>
      <c r="F45">
        <v>8.0799999999999997E-2</v>
      </c>
      <c r="G45">
        <v>8.7900000000000006E-2</v>
      </c>
      <c r="H45">
        <v>2.2200000000000001E-2</v>
      </c>
      <c r="I45">
        <v>2.8400000000000002E-2</v>
      </c>
      <c r="J45">
        <v>9.1999999999999998E-3</v>
      </c>
      <c r="K45">
        <v>4.9099999999999998E-2</v>
      </c>
    </row>
    <row r="46" spans="3:17" x14ac:dyDescent="0.3">
      <c r="D46">
        <f>D45*6</f>
        <v>0.50759999999999994</v>
      </c>
      <c r="E46">
        <f>E45*6</f>
        <v>0.35399999999999998</v>
      </c>
      <c r="F46">
        <f>F45*5</f>
        <v>0.40399999999999997</v>
      </c>
      <c r="G46">
        <f>G45*6</f>
        <v>0.52740000000000009</v>
      </c>
      <c r="H46">
        <f>H45*7</f>
        <v>0.15540000000000001</v>
      </c>
      <c r="I46">
        <f>I45*9</f>
        <v>0.25559999999999999</v>
      </c>
      <c r="J46">
        <f>J45*9</f>
        <v>8.2799999999999999E-2</v>
      </c>
      <c r="K46">
        <f>K45*6</f>
        <v>0.29459999999999997</v>
      </c>
      <c r="L46">
        <f>SUM(D46:K46)/55</f>
        <v>4.6934545454545451E-2</v>
      </c>
    </row>
    <row r="47" spans="3:17" x14ac:dyDescent="0.3">
      <c r="C47" t="s">
        <v>6</v>
      </c>
      <c r="D47">
        <v>0.1003</v>
      </c>
      <c r="E47">
        <v>7.3400000000000007E-2</v>
      </c>
      <c r="F47">
        <v>8.1299999999999997E-2</v>
      </c>
      <c r="G47">
        <v>6.2300000000000001E-2</v>
      </c>
      <c r="H47">
        <v>3.2300000000000002E-2</v>
      </c>
      <c r="I47">
        <v>8.3999999999999995E-3</v>
      </c>
      <c r="J47">
        <v>3.7900000000000003E-2</v>
      </c>
      <c r="K47">
        <v>5.8900000000000001E-2</v>
      </c>
    </row>
    <row r="48" spans="3:17" x14ac:dyDescent="0.3">
      <c r="D48">
        <f>D47*6</f>
        <v>0.6018</v>
      </c>
      <c r="E48">
        <f>E47*6</f>
        <v>0.44040000000000001</v>
      </c>
      <c r="F48">
        <f>F47*5</f>
        <v>0.40649999999999997</v>
      </c>
      <c r="G48">
        <f>G47*6</f>
        <v>0.37380000000000002</v>
      </c>
      <c r="H48">
        <f>H47*7</f>
        <v>0.22610000000000002</v>
      </c>
      <c r="I48">
        <f>I47*9</f>
        <v>7.5600000000000001E-2</v>
      </c>
      <c r="J48">
        <f>J47*9</f>
        <v>0.34110000000000001</v>
      </c>
      <c r="K48">
        <f>K47*6</f>
        <v>0.35339999999999999</v>
      </c>
      <c r="L48">
        <f>SUM(D48:K48)/55</f>
        <v>5.1249090909090918E-2</v>
      </c>
    </row>
    <row r="49" spans="3:12" x14ac:dyDescent="0.3">
      <c r="C49" t="s">
        <v>7</v>
      </c>
      <c r="D49">
        <v>8.2900000000000001E-2</v>
      </c>
      <c r="E49">
        <v>3.8300000000000001E-2</v>
      </c>
      <c r="F49">
        <v>2.24E-2</v>
      </c>
      <c r="G49" s="66">
        <v>3.9199999999999999E-2</v>
      </c>
      <c r="H49">
        <v>2.23E-2</v>
      </c>
      <c r="I49">
        <v>1.9400000000000001E-2</v>
      </c>
      <c r="J49">
        <v>2.5249000000000001</v>
      </c>
      <c r="K49" s="66">
        <v>1.1999999999999999E-3</v>
      </c>
    </row>
    <row r="50" spans="3:12" x14ac:dyDescent="0.3">
      <c r="D50">
        <f>D49*6</f>
        <v>0.49740000000000001</v>
      </c>
      <c r="E50">
        <f>E49*6</f>
        <v>0.2298</v>
      </c>
      <c r="F50">
        <f>F49*5</f>
        <v>0.112</v>
      </c>
      <c r="G50">
        <f>G49*6</f>
        <v>0.23519999999999999</v>
      </c>
      <c r="H50">
        <f>H49*7</f>
        <v>0.15610000000000002</v>
      </c>
      <c r="I50">
        <f>I49*9</f>
        <v>0.17460000000000001</v>
      </c>
      <c r="J50">
        <f>J49*9</f>
        <v>22.7241</v>
      </c>
      <c r="K50">
        <f>K49*6</f>
        <v>7.1999999999999998E-3</v>
      </c>
      <c r="L50">
        <f>SUM(D50:K50)/55</f>
        <v>0.43884363636363638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1199-BC0B-45C6-9400-89A3C851D37C}">
  <dimension ref="A1:O96"/>
  <sheetViews>
    <sheetView topLeftCell="A7" zoomScale="95" zoomScaleNormal="95" workbookViewId="0">
      <selection activeCell="P18" sqref="P18"/>
    </sheetView>
  </sheetViews>
  <sheetFormatPr defaultColWidth="20.6640625" defaultRowHeight="14.4" x14ac:dyDescent="0.3"/>
  <cols>
    <col min="1" max="1" width="9" customWidth="1"/>
    <col min="2" max="10" width="11.21875" customWidth="1"/>
    <col min="11" max="14" width="10.44140625" customWidth="1"/>
    <col min="15" max="15" width="38.5546875" customWidth="1"/>
  </cols>
  <sheetData>
    <row r="1" spans="1:15" ht="15" thickBot="1" x14ac:dyDescent="0.35">
      <c r="A1" s="49" t="s">
        <v>31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5" ht="15.6" thickTop="1" thickBot="1" x14ac:dyDescent="0.35">
      <c r="A2" s="14" t="s">
        <v>19</v>
      </c>
      <c r="B2" s="15" t="s">
        <v>32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37</v>
      </c>
      <c r="H2" s="15" t="s">
        <v>38</v>
      </c>
      <c r="I2" s="15" t="s">
        <v>39</v>
      </c>
      <c r="J2" s="15" t="s">
        <v>40</v>
      </c>
      <c r="K2" s="16" t="s">
        <v>10</v>
      </c>
      <c r="L2" s="17" t="s">
        <v>11</v>
      </c>
      <c r="M2" s="18" t="s">
        <v>18</v>
      </c>
      <c r="N2" s="19" t="s">
        <v>12</v>
      </c>
      <c r="O2" s="20" t="s">
        <v>16</v>
      </c>
    </row>
    <row r="3" spans="1:15" ht="15" thickTop="1" x14ac:dyDescent="0.3">
      <c r="A3" s="21" t="s">
        <v>1</v>
      </c>
      <c r="B3" s="22">
        <v>1.67</v>
      </c>
      <c r="C3" s="22">
        <v>0</v>
      </c>
      <c r="D3" s="22">
        <v>0</v>
      </c>
      <c r="E3" s="22">
        <v>770</v>
      </c>
      <c r="F3" s="22">
        <v>0</v>
      </c>
      <c r="G3" s="22">
        <v>485</v>
      </c>
      <c r="H3" s="22">
        <v>0</v>
      </c>
      <c r="I3" s="22">
        <v>285</v>
      </c>
      <c r="J3" s="22">
        <v>0</v>
      </c>
      <c r="K3" s="23">
        <f>(G3+C3+D3+H3)/SUM(C3:J3)</f>
        <v>0.31493506493506496</v>
      </c>
      <c r="L3" s="24">
        <f>(C3+G3)/(C3+G3+E3+I3)</f>
        <v>0.31493506493506496</v>
      </c>
      <c r="M3" s="23">
        <f>(C3+G3)/(C3+G3+F3+J3)</f>
        <v>1</v>
      </c>
      <c r="N3" s="24">
        <f>(2*(M3*L3))/(M3+L3)</f>
        <v>0.47901234567901235</v>
      </c>
      <c r="O3" s="25"/>
    </row>
    <row r="4" spans="1:15" x14ac:dyDescent="0.3">
      <c r="A4" s="26"/>
      <c r="B4">
        <v>2</v>
      </c>
      <c r="C4">
        <v>0</v>
      </c>
      <c r="D4">
        <v>0</v>
      </c>
      <c r="E4">
        <v>770</v>
      </c>
      <c r="F4">
        <v>0</v>
      </c>
      <c r="G4">
        <v>337</v>
      </c>
      <c r="H4">
        <v>0</v>
      </c>
      <c r="I4">
        <v>433</v>
      </c>
      <c r="J4">
        <v>0</v>
      </c>
      <c r="K4" s="4">
        <f t="shared" ref="K4:K23" si="0">(G4+C4+D4+H4)/SUM(C4:J4)</f>
        <v>0.21883116883116882</v>
      </c>
      <c r="L4" s="4">
        <f t="shared" ref="L4:L23" si="1">(C4+G4)/(C4+G4+E4+I4)</f>
        <v>0.21883116883116882</v>
      </c>
      <c r="M4" s="4">
        <f t="shared" ref="M4:M23" si="2">(C4+G4)/(C4+G4+F4+J4)</f>
        <v>1</v>
      </c>
      <c r="N4" s="4">
        <f t="shared" ref="N4:N23" si="3">(2*(M4*L4))/(M4+L4)</f>
        <v>0.35908364411294619</v>
      </c>
      <c r="O4" s="27"/>
    </row>
    <row r="5" spans="1:15" x14ac:dyDescent="0.3">
      <c r="A5" s="26"/>
      <c r="B5">
        <v>2.5</v>
      </c>
      <c r="C5">
        <v>0</v>
      </c>
      <c r="D5">
        <v>0</v>
      </c>
      <c r="E5">
        <v>770</v>
      </c>
      <c r="F5">
        <v>0</v>
      </c>
      <c r="G5">
        <v>85</v>
      </c>
      <c r="H5">
        <v>0</v>
      </c>
      <c r="I5">
        <v>685</v>
      </c>
      <c r="J5">
        <v>0</v>
      </c>
      <c r="K5" s="4">
        <f t="shared" si="0"/>
        <v>5.5194805194805192E-2</v>
      </c>
      <c r="L5" s="4">
        <f t="shared" si="1"/>
        <v>5.5194805194805192E-2</v>
      </c>
      <c r="M5" s="4">
        <f t="shared" si="2"/>
        <v>1</v>
      </c>
      <c r="N5" s="4">
        <f t="shared" si="3"/>
        <v>0.10461538461538461</v>
      </c>
      <c r="O5" s="27"/>
    </row>
    <row r="6" spans="1:15" x14ac:dyDescent="0.3">
      <c r="A6" s="21" t="s">
        <v>2</v>
      </c>
      <c r="B6" s="22">
        <v>1.67</v>
      </c>
      <c r="C6" s="22">
        <v>0</v>
      </c>
      <c r="D6" s="22">
        <v>0</v>
      </c>
      <c r="E6" s="22">
        <v>770</v>
      </c>
      <c r="F6" s="22">
        <v>0</v>
      </c>
      <c r="G6" s="22">
        <v>383</v>
      </c>
      <c r="H6" s="22">
        <v>0</v>
      </c>
      <c r="I6" s="22">
        <v>387</v>
      </c>
      <c r="J6" s="22">
        <v>0</v>
      </c>
      <c r="K6" s="23">
        <f t="shared" si="0"/>
        <v>0.2487012987012987</v>
      </c>
      <c r="L6" s="24">
        <f t="shared" si="1"/>
        <v>0.2487012987012987</v>
      </c>
      <c r="M6" s="23">
        <f t="shared" si="2"/>
        <v>1</v>
      </c>
      <c r="N6" s="24">
        <f t="shared" si="3"/>
        <v>0.39833593343733753</v>
      </c>
      <c r="O6" s="25"/>
    </row>
    <row r="7" spans="1:15" x14ac:dyDescent="0.3">
      <c r="A7" s="26"/>
      <c r="B7">
        <v>2</v>
      </c>
      <c r="C7">
        <v>0</v>
      </c>
      <c r="D7">
        <v>0</v>
      </c>
      <c r="E7">
        <v>770</v>
      </c>
      <c r="F7">
        <v>0</v>
      </c>
      <c r="G7">
        <v>275</v>
      </c>
      <c r="H7">
        <v>0</v>
      </c>
      <c r="I7">
        <v>495</v>
      </c>
      <c r="J7">
        <v>0</v>
      </c>
      <c r="K7" s="4">
        <f t="shared" si="0"/>
        <v>0.17857142857142858</v>
      </c>
      <c r="L7" s="4">
        <f t="shared" si="1"/>
        <v>0.17857142857142858</v>
      </c>
      <c r="M7" s="4">
        <f t="shared" si="2"/>
        <v>1</v>
      </c>
      <c r="N7" s="4">
        <f t="shared" si="3"/>
        <v>0.30303030303030304</v>
      </c>
      <c r="O7" s="27"/>
    </row>
    <row r="8" spans="1:15" x14ac:dyDescent="0.3">
      <c r="A8" s="26"/>
      <c r="B8">
        <v>2.5</v>
      </c>
      <c r="C8">
        <v>0</v>
      </c>
      <c r="D8">
        <v>0</v>
      </c>
      <c r="E8">
        <v>770</v>
      </c>
      <c r="F8">
        <v>0</v>
      </c>
      <c r="G8">
        <v>126</v>
      </c>
      <c r="H8">
        <v>0</v>
      </c>
      <c r="I8">
        <v>644</v>
      </c>
      <c r="J8">
        <v>0</v>
      </c>
      <c r="K8" s="4">
        <f t="shared" si="0"/>
        <v>8.1818181818181818E-2</v>
      </c>
      <c r="L8" s="4">
        <f t="shared" si="1"/>
        <v>8.1818181818181818E-2</v>
      </c>
      <c r="M8" s="4">
        <f t="shared" si="2"/>
        <v>1</v>
      </c>
      <c r="N8" s="4">
        <f t="shared" si="3"/>
        <v>0.15126050420168066</v>
      </c>
      <c r="O8" s="27"/>
    </row>
    <row r="9" spans="1:15" x14ac:dyDescent="0.3">
      <c r="A9" s="21" t="s">
        <v>3</v>
      </c>
      <c r="B9" s="22">
        <v>1.67</v>
      </c>
      <c r="C9" s="22">
        <v>0</v>
      </c>
      <c r="D9" s="22">
        <v>0</v>
      </c>
      <c r="E9" s="22">
        <v>770</v>
      </c>
      <c r="F9" s="22">
        <v>0</v>
      </c>
      <c r="G9" s="22">
        <v>255</v>
      </c>
      <c r="H9" s="22">
        <v>0</v>
      </c>
      <c r="I9" s="22">
        <v>515</v>
      </c>
      <c r="J9" s="22">
        <v>0</v>
      </c>
      <c r="K9" s="23">
        <f t="shared" si="0"/>
        <v>0.16558441558441558</v>
      </c>
      <c r="L9" s="24">
        <f t="shared" si="1"/>
        <v>0.16558441558441558</v>
      </c>
      <c r="M9" s="23">
        <f t="shared" si="2"/>
        <v>1</v>
      </c>
      <c r="N9" s="24">
        <f t="shared" si="3"/>
        <v>0.28412256267409475</v>
      </c>
      <c r="O9" s="25"/>
    </row>
    <row r="10" spans="1:15" x14ac:dyDescent="0.3">
      <c r="A10" s="26"/>
      <c r="B10">
        <v>2</v>
      </c>
      <c r="C10">
        <v>0</v>
      </c>
      <c r="D10">
        <v>0</v>
      </c>
      <c r="E10">
        <v>770</v>
      </c>
      <c r="F10">
        <v>0</v>
      </c>
      <c r="G10">
        <v>176</v>
      </c>
      <c r="H10">
        <v>0</v>
      </c>
      <c r="I10">
        <v>594</v>
      </c>
      <c r="J10">
        <v>0</v>
      </c>
      <c r="K10" s="4">
        <f t="shared" si="0"/>
        <v>0.11428571428571428</v>
      </c>
      <c r="L10" s="4">
        <f t="shared" si="1"/>
        <v>0.11428571428571428</v>
      </c>
      <c r="M10" s="4">
        <f t="shared" si="2"/>
        <v>1</v>
      </c>
      <c r="N10" s="4">
        <f t="shared" si="3"/>
        <v>0.20512820512820512</v>
      </c>
      <c r="O10" s="27"/>
    </row>
    <row r="11" spans="1:15" x14ac:dyDescent="0.3">
      <c r="A11" s="26"/>
      <c r="B11">
        <v>2.5</v>
      </c>
      <c r="C11">
        <v>0</v>
      </c>
      <c r="D11">
        <v>0</v>
      </c>
      <c r="E11">
        <v>770</v>
      </c>
      <c r="F11">
        <v>0</v>
      </c>
      <c r="G11">
        <v>99</v>
      </c>
      <c r="H11">
        <v>0</v>
      </c>
      <c r="I11">
        <v>671</v>
      </c>
      <c r="J11">
        <v>0</v>
      </c>
      <c r="K11" s="4">
        <f t="shared" si="0"/>
        <v>6.4285714285714279E-2</v>
      </c>
      <c r="L11" s="4">
        <f t="shared" si="1"/>
        <v>6.4285714285714279E-2</v>
      </c>
      <c r="M11" s="4">
        <f t="shared" si="2"/>
        <v>1</v>
      </c>
      <c r="N11" s="4">
        <f t="shared" si="3"/>
        <v>0.12080536912751677</v>
      </c>
      <c r="O11" s="27"/>
    </row>
    <row r="12" spans="1:15" x14ac:dyDescent="0.3">
      <c r="A12" s="21" t="s">
        <v>4</v>
      </c>
      <c r="B12" s="22">
        <v>1.67</v>
      </c>
      <c r="C12" s="22">
        <v>0</v>
      </c>
      <c r="D12" s="22">
        <v>0</v>
      </c>
      <c r="E12" s="22">
        <v>770</v>
      </c>
      <c r="F12" s="22">
        <v>0</v>
      </c>
      <c r="G12" s="22">
        <v>381</v>
      </c>
      <c r="H12" s="22">
        <v>0</v>
      </c>
      <c r="I12" s="22">
        <v>389</v>
      </c>
      <c r="J12" s="22">
        <v>0</v>
      </c>
      <c r="K12" s="23">
        <f t="shared" si="0"/>
        <v>0.2474025974025974</v>
      </c>
      <c r="L12" s="24">
        <f t="shared" si="1"/>
        <v>0.2474025974025974</v>
      </c>
      <c r="M12" s="23">
        <f t="shared" si="2"/>
        <v>1</v>
      </c>
      <c r="N12" s="24">
        <f t="shared" si="3"/>
        <v>0.39666840187402397</v>
      </c>
      <c r="O12" s="25"/>
    </row>
    <row r="13" spans="1:15" x14ac:dyDescent="0.3">
      <c r="A13" s="26"/>
      <c r="B13">
        <v>2</v>
      </c>
      <c r="C13">
        <v>0</v>
      </c>
      <c r="D13">
        <v>0</v>
      </c>
      <c r="E13">
        <v>770</v>
      </c>
      <c r="F13">
        <v>0</v>
      </c>
      <c r="G13">
        <v>246</v>
      </c>
      <c r="H13">
        <v>0</v>
      </c>
      <c r="I13">
        <v>524</v>
      </c>
      <c r="J13">
        <v>0</v>
      </c>
      <c r="K13" s="4">
        <f t="shared" si="0"/>
        <v>0.15974025974025974</v>
      </c>
      <c r="L13" s="4">
        <f t="shared" si="1"/>
        <v>0.15974025974025974</v>
      </c>
      <c r="M13" s="4">
        <f t="shared" si="2"/>
        <v>1</v>
      </c>
      <c r="N13" s="4">
        <f t="shared" si="3"/>
        <v>0.27547592385218367</v>
      </c>
      <c r="O13" s="27"/>
    </row>
    <row r="14" spans="1:15" x14ac:dyDescent="0.3">
      <c r="A14" s="26"/>
      <c r="B14">
        <v>2.5</v>
      </c>
      <c r="C14">
        <v>0</v>
      </c>
      <c r="D14">
        <v>0</v>
      </c>
      <c r="E14">
        <v>770</v>
      </c>
      <c r="F14">
        <v>0</v>
      </c>
      <c r="G14">
        <v>129</v>
      </c>
      <c r="H14">
        <v>0</v>
      </c>
      <c r="I14">
        <v>641</v>
      </c>
      <c r="J14">
        <v>0</v>
      </c>
      <c r="K14" s="4">
        <f t="shared" si="0"/>
        <v>8.3766233766233766E-2</v>
      </c>
      <c r="L14" s="4">
        <f t="shared" si="1"/>
        <v>8.3766233766233766E-2</v>
      </c>
      <c r="M14" s="4">
        <f t="shared" si="2"/>
        <v>1</v>
      </c>
      <c r="N14" s="4">
        <f t="shared" si="3"/>
        <v>0.15458358298382266</v>
      </c>
      <c r="O14" s="27"/>
    </row>
    <row r="15" spans="1:15" x14ac:dyDescent="0.3">
      <c r="A15" s="21" t="s">
        <v>5</v>
      </c>
      <c r="B15" s="22">
        <v>1.67</v>
      </c>
      <c r="C15" s="22">
        <v>0</v>
      </c>
      <c r="D15" s="22">
        <v>0</v>
      </c>
      <c r="E15" s="22">
        <v>770</v>
      </c>
      <c r="F15" s="22">
        <v>0</v>
      </c>
      <c r="G15" s="22">
        <v>355</v>
      </c>
      <c r="H15" s="22">
        <v>0</v>
      </c>
      <c r="I15" s="22">
        <v>415</v>
      </c>
      <c r="J15" s="22">
        <v>0</v>
      </c>
      <c r="K15" s="23">
        <f t="shared" si="0"/>
        <v>0.23051948051948051</v>
      </c>
      <c r="L15" s="24">
        <f t="shared" si="1"/>
        <v>0.23051948051948051</v>
      </c>
      <c r="M15" s="23">
        <f t="shared" si="2"/>
        <v>1</v>
      </c>
      <c r="N15" s="24">
        <f t="shared" si="3"/>
        <v>0.37467018469656987</v>
      </c>
      <c r="O15" s="25"/>
    </row>
    <row r="16" spans="1:15" x14ac:dyDescent="0.3">
      <c r="A16" s="26"/>
      <c r="B16">
        <v>2</v>
      </c>
      <c r="C16">
        <v>0</v>
      </c>
      <c r="D16">
        <v>0</v>
      </c>
      <c r="E16">
        <v>770</v>
      </c>
      <c r="F16">
        <v>0</v>
      </c>
      <c r="G16">
        <v>246</v>
      </c>
      <c r="H16">
        <v>0</v>
      </c>
      <c r="I16">
        <v>524</v>
      </c>
      <c r="J16">
        <v>0</v>
      </c>
      <c r="K16" s="4">
        <f t="shared" si="0"/>
        <v>0.15974025974025974</v>
      </c>
      <c r="L16" s="4">
        <f t="shared" si="1"/>
        <v>0.15974025974025974</v>
      </c>
      <c r="M16" s="4">
        <f t="shared" si="2"/>
        <v>1</v>
      </c>
      <c r="N16" s="4">
        <f t="shared" si="3"/>
        <v>0.27547592385218367</v>
      </c>
      <c r="O16" s="27"/>
    </row>
    <row r="17" spans="1:15" x14ac:dyDescent="0.3">
      <c r="A17" s="26"/>
      <c r="B17">
        <v>2.5</v>
      </c>
      <c r="C17">
        <v>0</v>
      </c>
      <c r="D17">
        <v>0</v>
      </c>
      <c r="E17">
        <v>770</v>
      </c>
      <c r="F17">
        <v>0</v>
      </c>
      <c r="G17">
        <v>123</v>
      </c>
      <c r="H17">
        <v>0</v>
      </c>
      <c r="I17">
        <v>647</v>
      </c>
      <c r="J17">
        <v>0</v>
      </c>
      <c r="K17" s="4">
        <f t="shared" si="0"/>
        <v>7.9870129870129869E-2</v>
      </c>
      <c r="L17" s="4">
        <f t="shared" si="1"/>
        <v>7.9870129870129869E-2</v>
      </c>
      <c r="M17" s="4">
        <f t="shared" si="2"/>
        <v>1</v>
      </c>
      <c r="N17" s="4">
        <f t="shared" si="3"/>
        <v>0.14792543595911004</v>
      </c>
      <c r="O17" s="27"/>
    </row>
    <row r="18" spans="1:15" x14ac:dyDescent="0.3">
      <c r="A18" s="21" t="s">
        <v>6</v>
      </c>
      <c r="B18" s="22">
        <v>1.67</v>
      </c>
      <c r="C18" s="22">
        <v>0</v>
      </c>
      <c r="D18" s="22">
        <v>0</v>
      </c>
      <c r="E18" s="22">
        <v>770</v>
      </c>
      <c r="F18" s="22">
        <v>0</v>
      </c>
      <c r="G18" s="22">
        <v>249</v>
      </c>
      <c r="H18" s="22">
        <v>0</v>
      </c>
      <c r="I18" s="22">
        <v>521</v>
      </c>
      <c r="J18" s="22">
        <v>0</v>
      </c>
      <c r="K18" s="23">
        <f t="shared" si="0"/>
        <v>0.16168831168831169</v>
      </c>
      <c r="L18" s="24">
        <f t="shared" si="1"/>
        <v>0.16168831168831169</v>
      </c>
      <c r="M18" s="23">
        <f t="shared" si="2"/>
        <v>1</v>
      </c>
      <c r="N18" s="24">
        <f t="shared" si="3"/>
        <v>0.27836780324203464</v>
      </c>
      <c r="O18" s="25"/>
    </row>
    <row r="19" spans="1:15" x14ac:dyDescent="0.3">
      <c r="A19" s="26"/>
      <c r="B19">
        <v>2</v>
      </c>
      <c r="C19">
        <v>0</v>
      </c>
      <c r="D19">
        <v>0</v>
      </c>
      <c r="E19">
        <v>770</v>
      </c>
      <c r="F19">
        <v>0</v>
      </c>
      <c r="G19">
        <v>181</v>
      </c>
      <c r="H19">
        <v>0</v>
      </c>
      <c r="I19">
        <v>589</v>
      </c>
      <c r="J19">
        <v>0</v>
      </c>
      <c r="K19" s="4">
        <f t="shared" si="0"/>
        <v>0.11753246753246753</v>
      </c>
      <c r="L19" s="4">
        <f t="shared" si="1"/>
        <v>0.11753246753246753</v>
      </c>
      <c r="M19" s="4">
        <f t="shared" si="2"/>
        <v>1</v>
      </c>
      <c r="N19" s="4">
        <f t="shared" si="3"/>
        <v>0.21034282393956999</v>
      </c>
      <c r="O19" s="27"/>
    </row>
    <row r="20" spans="1:15" x14ac:dyDescent="0.3">
      <c r="A20" s="26"/>
      <c r="B20">
        <v>2.5</v>
      </c>
      <c r="C20">
        <v>0</v>
      </c>
      <c r="D20">
        <v>0</v>
      </c>
      <c r="E20">
        <v>770</v>
      </c>
      <c r="F20">
        <v>0</v>
      </c>
      <c r="G20">
        <v>78</v>
      </c>
      <c r="H20">
        <v>0</v>
      </c>
      <c r="I20">
        <v>692</v>
      </c>
      <c r="J20">
        <v>0</v>
      </c>
      <c r="K20" s="4">
        <f t="shared" si="0"/>
        <v>5.0649350649350652E-2</v>
      </c>
      <c r="L20" s="4">
        <f t="shared" si="1"/>
        <v>5.0649350649350652E-2</v>
      </c>
      <c r="M20" s="4">
        <f t="shared" si="2"/>
        <v>1</v>
      </c>
      <c r="N20" s="4">
        <f t="shared" si="3"/>
        <v>9.6415327564894945E-2</v>
      </c>
      <c r="O20" s="27"/>
    </row>
    <row r="21" spans="1:15" x14ac:dyDescent="0.3">
      <c r="A21" s="21" t="s">
        <v>7</v>
      </c>
      <c r="B21" s="22">
        <v>1.67</v>
      </c>
      <c r="C21" s="22">
        <v>0</v>
      </c>
      <c r="D21" s="22">
        <v>0</v>
      </c>
      <c r="E21" s="22">
        <v>770</v>
      </c>
      <c r="F21" s="22">
        <v>0</v>
      </c>
      <c r="G21" s="22">
        <v>229</v>
      </c>
      <c r="H21" s="22">
        <v>0</v>
      </c>
      <c r="I21" s="22">
        <v>541</v>
      </c>
      <c r="J21" s="22">
        <v>0</v>
      </c>
      <c r="K21" s="23">
        <f t="shared" si="0"/>
        <v>0.1487012987012987</v>
      </c>
      <c r="L21" s="24">
        <f t="shared" si="1"/>
        <v>0.1487012987012987</v>
      </c>
      <c r="M21" s="23">
        <f t="shared" si="2"/>
        <v>1</v>
      </c>
      <c r="N21" s="24">
        <f t="shared" si="3"/>
        <v>0.25890333521763703</v>
      </c>
      <c r="O21" s="25"/>
    </row>
    <row r="22" spans="1:15" x14ac:dyDescent="0.3">
      <c r="A22" s="28"/>
      <c r="B22">
        <v>2</v>
      </c>
      <c r="C22">
        <v>0</v>
      </c>
      <c r="D22">
        <v>0</v>
      </c>
      <c r="E22">
        <v>770</v>
      </c>
      <c r="F22">
        <v>0</v>
      </c>
      <c r="G22">
        <v>171</v>
      </c>
      <c r="H22">
        <v>0</v>
      </c>
      <c r="I22">
        <v>599</v>
      </c>
      <c r="J22">
        <v>0</v>
      </c>
      <c r="K22" s="4">
        <f t="shared" si="0"/>
        <v>0.11103896103896103</v>
      </c>
      <c r="L22" s="4">
        <f t="shared" si="1"/>
        <v>0.11103896103896103</v>
      </c>
      <c r="M22" s="4">
        <f t="shared" si="2"/>
        <v>1</v>
      </c>
      <c r="N22" s="4">
        <f t="shared" si="3"/>
        <v>0.19988310929281122</v>
      </c>
      <c r="O22" s="27"/>
    </row>
    <row r="23" spans="1:15" ht="15" thickBot="1" x14ac:dyDescent="0.35">
      <c r="A23" s="29"/>
      <c r="B23" s="30">
        <v>2.5</v>
      </c>
      <c r="C23" s="30">
        <v>0</v>
      </c>
      <c r="D23" s="30">
        <v>0</v>
      </c>
      <c r="E23" s="30">
        <v>770</v>
      </c>
      <c r="F23" s="30">
        <v>0</v>
      </c>
      <c r="G23" s="30">
        <v>76</v>
      </c>
      <c r="H23" s="30">
        <v>0</v>
      </c>
      <c r="I23" s="30">
        <v>694</v>
      </c>
      <c r="J23" s="30">
        <v>0</v>
      </c>
      <c r="K23" s="31">
        <f t="shared" si="0"/>
        <v>4.9350649350649353E-2</v>
      </c>
      <c r="L23" s="31">
        <f t="shared" si="1"/>
        <v>4.9350649350649353E-2</v>
      </c>
      <c r="M23" s="31">
        <f t="shared" si="2"/>
        <v>1</v>
      </c>
      <c r="N23" s="31">
        <f t="shared" si="3"/>
        <v>9.4059405940594074E-2</v>
      </c>
      <c r="O23" s="32"/>
    </row>
    <row r="24" spans="1:15" ht="15" thickBot="1" x14ac:dyDescent="0.35"/>
    <row r="25" spans="1:15" ht="15.6" thickTop="1" thickBot="1" x14ac:dyDescent="0.35">
      <c r="A25" s="52" t="s">
        <v>41</v>
      </c>
      <c r="B25" s="53"/>
      <c r="C25" s="53"/>
      <c r="D25" s="53"/>
      <c r="E25" s="53"/>
      <c r="F25" s="53"/>
      <c r="G25" s="53"/>
      <c r="H25" s="53"/>
      <c r="I25" s="53"/>
      <c r="J25" s="53"/>
      <c r="K25" s="54"/>
      <c r="L25" s="54"/>
      <c r="M25" s="54"/>
      <c r="N25" s="54"/>
      <c r="O25" s="55"/>
    </row>
    <row r="26" spans="1:15" ht="15.6" thickTop="1" thickBot="1" x14ac:dyDescent="0.35">
      <c r="A26" s="33" t="s">
        <v>19</v>
      </c>
      <c r="B26" s="15" t="s">
        <v>32</v>
      </c>
      <c r="C26" s="15" t="s">
        <v>33</v>
      </c>
      <c r="D26" s="15" t="s">
        <v>34</v>
      </c>
      <c r="E26" s="15" t="s">
        <v>35</v>
      </c>
      <c r="F26" s="15" t="s">
        <v>36</v>
      </c>
      <c r="G26" s="15" t="s">
        <v>37</v>
      </c>
      <c r="H26" s="15" t="s">
        <v>38</v>
      </c>
      <c r="I26" s="15" t="s">
        <v>39</v>
      </c>
      <c r="J26" s="15" t="s">
        <v>40</v>
      </c>
      <c r="K26" s="16" t="s">
        <v>10</v>
      </c>
      <c r="L26" s="17" t="s">
        <v>11</v>
      </c>
      <c r="M26" s="18" t="s">
        <v>18</v>
      </c>
      <c r="N26" s="19" t="s">
        <v>12</v>
      </c>
      <c r="O26" s="34" t="s">
        <v>16</v>
      </c>
    </row>
    <row r="27" spans="1:15" ht="15" thickTop="1" x14ac:dyDescent="0.3">
      <c r="A27" s="35" t="s">
        <v>1</v>
      </c>
      <c r="B27" s="22">
        <v>1.67</v>
      </c>
      <c r="C27" s="22">
        <v>0</v>
      </c>
      <c r="D27" s="22">
        <v>699</v>
      </c>
      <c r="E27" s="22">
        <v>71</v>
      </c>
      <c r="F27" s="22">
        <v>0</v>
      </c>
      <c r="G27" s="22">
        <v>388</v>
      </c>
      <c r="H27" s="22">
        <v>0</v>
      </c>
      <c r="I27" s="36">
        <v>40</v>
      </c>
      <c r="J27" s="22">
        <v>342</v>
      </c>
      <c r="K27" s="23">
        <f>(G27+C27+D27+H27)/SUM(C27:J27)</f>
        <v>0.70584415584415583</v>
      </c>
      <c r="L27" s="24">
        <f>(C27+G27)/(C27+G27+E27+I27)</f>
        <v>0.77755511022044088</v>
      </c>
      <c r="M27" s="23">
        <f>(C27+G27)/(C27+G27+F27+J27)</f>
        <v>0.53150684931506853</v>
      </c>
      <c r="N27" s="24">
        <f>(2*(M27*L27))/(M27+L27)</f>
        <v>0.63140764849471109</v>
      </c>
      <c r="O27" s="37"/>
    </row>
    <row r="28" spans="1:15" x14ac:dyDescent="0.3">
      <c r="A28" s="38"/>
      <c r="B28">
        <v>2</v>
      </c>
      <c r="C28">
        <v>0</v>
      </c>
      <c r="D28">
        <v>719</v>
      </c>
      <c r="E28">
        <v>51</v>
      </c>
      <c r="F28">
        <v>0</v>
      </c>
      <c r="G28">
        <v>208</v>
      </c>
      <c r="H28">
        <v>0</v>
      </c>
      <c r="I28">
        <v>35</v>
      </c>
      <c r="J28">
        <v>527</v>
      </c>
      <c r="K28" s="4">
        <f t="shared" ref="K28:K47" si="4">(G28+C28+D28+H28)/SUM(C28:J28)</f>
        <v>0.6019480519480519</v>
      </c>
      <c r="L28" s="4">
        <f t="shared" ref="L28:L47" si="5">(C28+G28)/(C28+G28+E28+I28)</f>
        <v>0.70748299319727892</v>
      </c>
      <c r="M28" s="4">
        <f t="shared" ref="M28:M47" si="6">(C28+G28)/(C28+G28+F28+J28)</f>
        <v>0.28299319727891159</v>
      </c>
      <c r="N28" s="4">
        <f t="shared" ref="N28:N47" si="7">(2*(M28*L28))/(M28+L28)</f>
        <v>0.40427599611273085</v>
      </c>
      <c r="O28" s="39"/>
    </row>
    <row r="29" spans="1:15" x14ac:dyDescent="0.3">
      <c r="A29" s="38"/>
      <c r="B29">
        <v>2.5</v>
      </c>
      <c r="C29">
        <v>0</v>
      </c>
      <c r="D29">
        <v>732</v>
      </c>
      <c r="E29">
        <v>38</v>
      </c>
      <c r="F29">
        <v>0</v>
      </c>
      <c r="G29">
        <v>5</v>
      </c>
      <c r="H29">
        <v>0</v>
      </c>
      <c r="I29">
        <v>36</v>
      </c>
      <c r="J29">
        <v>729</v>
      </c>
      <c r="K29" s="4">
        <f t="shared" si="4"/>
        <v>0.47857142857142859</v>
      </c>
      <c r="L29" s="4">
        <f t="shared" si="5"/>
        <v>6.3291139240506333E-2</v>
      </c>
      <c r="M29" s="4">
        <f t="shared" si="6"/>
        <v>6.8119891008174387E-3</v>
      </c>
      <c r="N29" s="4">
        <f t="shared" si="7"/>
        <v>1.230012300123001E-2</v>
      </c>
      <c r="O29" s="39"/>
    </row>
    <row r="30" spans="1:15" x14ac:dyDescent="0.3">
      <c r="A30" s="35" t="s">
        <v>2</v>
      </c>
      <c r="B30" s="22">
        <v>1.67</v>
      </c>
      <c r="C30" s="22">
        <v>0</v>
      </c>
      <c r="D30" s="22">
        <v>340</v>
      </c>
      <c r="E30" s="22">
        <v>430</v>
      </c>
      <c r="F30" s="22">
        <v>0</v>
      </c>
      <c r="G30" s="22">
        <v>361</v>
      </c>
      <c r="H30" s="22">
        <v>0</v>
      </c>
      <c r="I30" s="36">
        <v>230</v>
      </c>
      <c r="J30" s="22">
        <v>179</v>
      </c>
      <c r="K30" s="23">
        <f t="shared" si="4"/>
        <v>0.45519480519480521</v>
      </c>
      <c r="L30" s="24">
        <f t="shared" si="5"/>
        <v>0.35357492654260531</v>
      </c>
      <c r="M30" s="23">
        <f t="shared" si="6"/>
        <v>0.66851851851851851</v>
      </c>
      <c r="N30" s="24">
        <f t="shared" si="7"/>
        <v>0.46252402306213963</v>
      </c>
      <c r="O30" s="37"/>
    </row>
    <row r="31" spans="1:15" x14ac:dyDescent="0.3">
      <c r="A31" s="38"/>
      <c r="B31">
        <v>2</v>
      </c>
      <c r="C31">
        <v>0</v>
      </c>
      <c r="D31">
        <v>422</v>
      </c>
      <c r="E31">
        <v>348</v>
      </c>
      <c r="F31">
        <v>0</v>
      </c>
      <c r="G31">
        <v>203</v>
      </c>
      <c r="H31">
        <v>0</v>
      </c>
      <c r="I31">
        <v>252</v>
      </c>
      <c r="J31">
        <v>315</v>
      </c>
      <c r="K31" s="4">
        <f t="shared" si="4"/>
        <v>0.40584415584415584</v>
      </c>
      <c r="L31" s="4">
        <f t="shared" si="5"/>
        <v>0.25280199252801994</v>
      </c>
      <c r="M31" s="4">
        <f t="shared" si="6"/>
        <v>0.39189189189189189</v>
      </c>
      <c r="N31" s="4">
        <f t="shared" si="7"/>
        <v>0.30734292202876606</v>
      </c>
      <c r="O31" s="39"/>
    </row>
    <row r="32" spans="1:15" x14ac:dyDescent="0.3">
      <c r="A32" s="38"/>
      <c r="B32">
        <v>2.5</v>
      </c>
      <c r="C32">
        <v>0</v>
      </c>
      <c r="D32">
        <v>487</v>
      </c>
      <c r="E32">
        <v>283</v>
      </c>
      <c r="F32">
        <v>0</v>
      </c>
      <c r="G32">
        <v>26</v>
      </c>
      <c r="H32">
        <v>0</v>
      </c>
      <c r="I32">
        <v>270</v>
      </c>
      <c r="J32">
        <v>474</v>
      </c>
      <c r="K32" s="4">
        <f t="shared" si="4"/>
        <v>0.33311688311688314</v>
      </c>
      <c r="L32" s="4">
        <f t="shared" si="5"/>
        <v>4.4905008635578586E-2</v>
      </c>
      <c r="M32" s="4">
        <f t="shared" si="6"/>
        <v>5.1999999999999998E-2</v>
      </c>
      <c r="N32" s="4">
        <f t="shared" si="7"/>
        <v>4.8192771084337359E-2</v>
      </c>
      <c r="O32" s="39"/>
    </row>
    <row r="33" spans="1:15" x14ac:dyDescent="0.3">
      <c r="A33" s="35" t="s">
        <v>3</v>
      </c>
      <c r="B33" s="22">
        <v>1.67</v>
      </c>
      <c r="C33" s="22">
        <v>0</v>
      </c>
      <c r="D33" s="22">
        <v>59</v>
      </c>
      <c r="E33" s="22">
        <v>711</v>
      </c>
      <c r="F33" s="22">
        <v>0</v>
      </c>
      <c r="G33" s="22">
        <v>352</v>
      </c>
      <c r="H33" s="22">
        <v>0</v>
      </c>
      <c r="I33" s="36">
        <v>388</v>
      </c>
      <c r="J33" s="22">
        <v>30</v>
      </c>
      <c r="K33" s="23">
        <f t="shared" si="4"/>
        <v>0.26688311688311689</v>
      </c>
      <c r="L33" s="24">
        <f t="shared" si="5"/>
        <v>0.24259131633356307</v>
      </c>
      <c r="M33" s="23">
        <f t="shared" si="6"/>
        <v>0.92146596858638741</v>
      </c>
      <c r="N33" s="24">
        <f t="shared" si="7"/>
        <v>0.38406983087834151</v>
      </c>
      <c r="O33" s="37"/>
    </row>
    <row r="34" spans="1:15" x14ac:dyDescent="0.3">
      <c r="A34" s="38"/>
      <c r="B34">
        <v>2</v>
      </c>
      <c r="C34">
        <v>0</v>
      </c>
      <c r="D34">
        <v>118</v>
      </c>
      <c r="E34">
        <v>652</v>
      </c>
      <c r="F34">
        <v>0</v>
      </c>
      <c r="G34">
        <v>213</v>
      </c>
      <c r="H34">
        <v>0</v>
      </c>
      <c r="I34">
        <v>461</v>
      </c>
      <c r="J34">
        <v>96</v>
      </c>
      <c r="K34" s="4">
        <f t="shared" si="4"/>
        <v>0.21493506493506492</v>
      </c>
      <c r="L34" s="4">
        <f t="shared" si="5"/>
        <v>0.16063348416289594</v>
      </c>
      <c r="M34" s="4">
        <f t="shared" si="6"/>
        <v>0.68932038834951459</v>
      </c>
      <c r="N34" s="4">
        <f t="shared" si="7"/>
        <v>0.26055045871559634</v>
      </c>
      <c r="O34" s="39"/>
    </row>
    <row r="35" spans="1:15" x14ac:dyDescent="0.3">
      <c r="A35" s="38"/>
      <c r="B35">
        <v>2.5</v>
      </c>
      <c r="C35">
        <v>0</v>
      </c>
      <c r="D35">
        <v>216</v>
      </c>
      <c r="E35">
        <v>554</v>
      </c>
      <c r="F35">
        <v>0</v>
      </c>
      <c r="G35">
        <v>32</v>
      </c>
      <c r="H35">
        <v>0</v>
      </c>
      <c r="I35">
        <v>529</v>
      </c>
      <c r="J35">
        <v>209</v>
      </c>
      <c r="K35" s="4">
        <f t="shared" si="4"/>
        <v>0.16103896103896104</v>
      </c>
      <c r="L35" s="4">
        <f t="shared" si="5"/>
        <v>2.8699551569506727E-2</v>
      </c>
      <c r="M35" s="4">
        <f t="shared" si="6"/>
        <v>0.13278008298755187</v>
      </c>
      <c r="N35" s="4">
        <f t="shared" si="7"/>
        <v>4.71976401179941E-2</v>
      </c>
      <c r="O35" s="39"/>
    </row>
    <row r="36" spans="1:15" x14ac:dyDescent="0.3">
      <c r="A36" s="35" t="s">
        <v>4</v>
      </c>
      <c r="B36" s="22">
        <v>1.67</v>
      </c>
      <c r="C36" s="22">
        <v>0</v>
      </c>
      <c r="D36" s="22">
        <v>329</v>
      </c>
      <c r="E36" s="22">
        <v>441</v>
      </c>
      <c r="F36" s="22">
        <v>0</v>
      </c>
      <c r="G36" s="22">
        <v>370</v>
      </c>
      <c r="H36" s="22">
        <v>0</v>
      </c>
      <c r="I36" s="36">
        <v>226</v>
      </c>
      <c r="J36" s="22">
        <v>174</v>
      </c>
      <c r="K36" s="23">
        <f t="shared" si="4"/>
        <v>0.45389610389610391</v>
      </c>
      <c r="L36" s="24">
        <f t="shared" si="5"/>
        <v>0.35679845708775315</v>
      </c>
      <c r="M36" s="23">
        <f t="shared" si="6"/>
        <v>0.68014705882352944</v>
      </c>
      <c r="N36" s="24">
        <f t="shared" si="7"/>
        <v>0.46805819101834284</v>
      </c>
      <c r="O36" s="37"/>
    </row>
    <row r="37" spans="1:15" x14ac:dyDescent="0.3">
      <c r="A37" s="38"/>
      <c r="B37">
        <v>2</v>
      </c>
      <c r="C37">
        <v>0</v>
      </c>
      <c r="D37">
        <v>409</v>
      </c>
      <c r="E37">
        <v>361</v>
      </c>
      <c r="F37">
        <v>0</v>
      </c>
      <c r="G37">
        <v>197</v>
      </c>
      <c r="H37">
        <v>0</v>
      </c>
      <c r="I37">
        <v>273</v>
      </c>
      <c r="J37">
        <v>300</v>
      </c>
      <c r="K37" s="4">
        <f t="shared" si="4"/>
        <v>0.39350649350649353</v>
      </c>
      <c r="L37" s="4">
        <f t="shared" si="5"/>
        <v>0.23706377858002406</v>
      </c>
      <c r="M37" s="4">
        <f t="shared" si="6"/>
        <v>0.39637826961770622</v>
      </c>
      <c r="N37" s="4">
        <f t="shared" si="7"/>
        <v>0.29668674698795178</v>
      </c>
      <c r="O37" s="39"/>
    </row>
    <row r="38" spans="1:15" x14ac:dyDescent="0.3">
      <c r="A38" s="38"/>
      <c r="B38">
        <v>2.5</v>
      </c>
      <c r="C38">
        <v>0</v>
      </c>
      <c r="D38">
        <v>484</v>
      </c>
      <c r="E38">
        <v>286</v>
      </c>
      <c r="F38">
        <v>0</v>
      </c>
      <c r="G38">
        <v>20</v>
      </c>
      <c r="H38">
        <v>0</v>
      </c>
      <c r="I38">
        <v>278</v>
      </c>
      <c r="J38">
        <v>472</v>
      </c>
      <c r="K38" s="4">
        <f t="shared" si="4"/>
        <v>0.32727272727272727</v>
      </c>
      <c r="L38" s="4">
        <f t="shared" si="5"/>
        <v>3.4246575342465752E-2</v>
      </c>
      <c r="M38" s="4">
        <f t="shared" si="6"/>
        <v>4.065040650406504E-2</v>
      </c>
      <c r="N38" s="4">
        <f t="shared" si="7"/>
        <v>3.7174721189591073E-2</v>
      </c>
      <c r="O38" s="39"/>
    </row>
    <row r="39" spans="1:15" x14ac:dyDescent="0.3">
      <c r="A39" s="35" t="s">
        <v>5</v>
      </c>
      <c r="B39" s="22">
        <v>1.67</v>
      </c>
      <c r="C39" s="22">
        <v>0</v>
      </c>
      <c r="D39" s="22">
        <v>327</v>
      </c>
      <c r="E39" s="22">
        <v>443</v>
      </c>
      <c r="F39" s="22">
        <v>0</v>
      </c>
      <c r="G39" s="22">
        <v>361</v>
      </c>
      <c r="H39" s="22">
        <v>0</v>
      </c>
      <c r="I39" s="36">
        <v>240</v>
      </c>
      <c r="J39" s="22">
        <v>169</v>
      </c>
      <c r="K39" s="23">
        <f t="shared" si="4"/>
        <v>0.44675324675324674</v>
      </c>
      <c r="L39" s="24">
        <f t="shared" si="5"/>
        <v>0.3457854406130268</v>
      </c>
      <c r="M39" s="23">
        <f t="shared" si="6"/>
        <v>0.68113207547169807</v>
      </c>
      <c r="N39" s="24">
        <f t="shared" si="7"/>
        <v>0.4587039390088945</v>
      </c>
      <c r="O39" s="37"/>
    </row>
    <row r="40" spans="1:15" x14ac:dyDescent="0.3">
      <c r="A40" s="38"/>
      <c r="B40">
        <v>2</v>
      </c>
      <c r="C40">
        <v>0</v>
      </c>
      <c r="D40">
        <v>393</v>
      </c>
      <c r="E40">
        <v>377</v>
      </c>
      <c r="F40">
        <v>0</v>
      </c>
      <c r="G40">
        <v>235</v>
      </c>
      <c r="H40">
        <v>0</v>
      </c>
      <c r="I40">
        <v>260</v>
      </c>
      <c r="J40">
        <v>275</v>
      </c>
      <c r="K40" s="4">
        <f t="shared" si="4"/>
        <v>0.40779220779220782</v>
      </c>
      <c r="L40" s="4">
        <f t="shared" si="5"/>
        <v>0.26949541284403672</v>
      </c>
      <c r="M40" s="4">
        <f t="shared" si="6"/>
        <v>0.46078431372549017</v>
      </c>
      <c r="N40" s="4">
        <f t="shared" si="7"/>
        <v>0.34008683068017365</v>
      </c>
      <c r="O40" s="39"/>
    </row>
    <row r="41" spans="1:15" x14ac:dyDescent="0.3">
      <c r="A41" s="38"/>
      <c r="B41">
        <v>2.5</v>
      </c>
      <c r="C41">
        <v>0</v>
      </c>
      <c r="D41">
        <v>486</v>
      </c>
      <c r="E41">
        <v>284</v>
      </c>
      <c r="F41">
        <v>0</v>
      </c>
      <c r="G41">
        <v>34</v>
      </c>
      <c r="H41">
        <v>0</v>
      </c>
      <c r="I41">
        <v>270</v>
      </c>
      <c r="J41">
        <v>466</v>
      </c>
      <c r="K41" s="4">
        <f t="shared" si="4"/>
        <v>0.33766233766233766</v>
      </c>
      <c r="L41" s="4">
        <f t="shared" si="5"/>
        <v>5.7823129251700682E-2</v>
      </c>
      <c r="M41" s="4">
        <f t="shared" si="6"/>
        <v>6.8000000000000005E-2</v>
      </c>
      <c r="N41" s="4">
        <f t="shared" si="7"/>
        <v>6.25E-2</v>
      </c>
      <c r="O41" s="39"/>
    </row>
    <row r="42" spans="1:15" x14ac:dyDescent="0.3">
      <c r="A42" s="35" t="s">
        <v>6</v>
      </c>
      <c r="B42" s="22">
        <v>1.67</v>
      </c>
      <c r="C42" s="22">
        <v>0</v>
      </c>
      <c r="D42" s="22">
        <v>73</v>
      </c>
      <c r="E42" s="22">
        <v>697</v>
      </c>
      <c r="F42" s="22">
        <v>0</v>
      </c>
      <c r="G42" s="22">
        <v>361</v>
      </c>
      <c r="H42" s="22">
        <v>0</v>
      </c>
      <c r="I42" s="36">
        <v>373</v>
      </c>
      <c r="J42" s="22">
        <v>36</v>
      </c>
      <c r="K42" s="23">
        <f t="shared" si="4"/>
        <v>0.2818181818181818</v>
      </c>
      <c r="L42" s="24">
        <f t="shared" si="5"/>
        <v>0.25227113906359189</v>
      </c>
      <c r="M42" s="23">
        <f t="shared" si="6"/>
        <v>0.90931989924433254</v>
      </c>
      <c r="N42" s="24">
        <f t="shared" si="7"/>
        <v>0.39496717724288838</v>
      </c>
      <c r="O42" s="37"/>
    </row>
    <row r="43" spans="1:15" x14ac:dyDescent="0.3">
      <c r="A43" s="38"/>
      <c r="B43">
        <v>2</v>
      </c>
      <c r="C43">
        <v>0</v>
      </c>
      <c r="D43">
        <v>145</v>
      </c>
      <c r="E43">
        <v>625</v>
      </c>
      <c r="F43">
        <v>0</v>
      </c>
      <c r="G43">
        <v>231</v>
      </c>
      <c r="H43">
        <v>0</v>
      </c>
      <c r="I43">
        <v>433</v>
      </c>
      <c r="J43">
        <v>106</v>
      </c>
      <c r="K43" s="4">
        <f t="shared" si="4"/>
        <v>0.24415584415584415</v>
      </c>
      <c r="L43" s="4">
        <f t="shared" si="5"/>
        <v>0.17920868890612879</v>
      </c>
      <c r="M43" s="4">
        <f t="shared" si="6"/>
        <v>0.68545994065281901</v>
      </c>
      <c r="N43" s="4">
        <f t="shared" si="7"/>
        <v>0.28413284132841327</v>
      </c>
      <c r="O43" s="39"/>
    </row>
    <row r="44" spans="1:15" x14ac:dyDescent="0.3">
      <c r="A44" s="38"/>
      <c r="B44">
        <v>2.5</v>
      </c>
      <c r="C44">
        <v>0</v>
      </c>
      <c r="D44">
        <v>235</v>
      </c>
      <c r="E44">
        <v>535</v>
      </c>
      <c r="F44">
        <v>0</v>
      </c>
      <c r="G44">
        <v>53</v>
      </c>
      <c r="H44">
        <v>0</v>
      </c>
      <c r="I44">
        <v>498</v>
      </c>
      <c r="J44">
        <v>219</v>
      </c>
      <c r="K44" s="4">
        <f t="shared" si="4"/>
        <v>0.18701298701298702</v>
      </c>
      <c r="L44" s="4">
        <f t="shared" si="5"/>
        <v>4.8802946593001842E-2</v>
      </c>
      <c r="M44" s="4">
        <f t="shared" si="6"/>
        <v>0.19485294117647059</v>
      </c>
      <c r="N44" s="4">
        <f t="shared" si="7"/>
        <v>7.8055964653902798E-2</v>
      </c>
      <c r="O44" s="39"/>
    </row>
    <row r="45" spans="1:15" x14ac:dyDescent="0.3">
      <c r="A45" s="35" t="s">
        <v>7</v>
      </c>
      <c r="B45" s="22">
        <v>1.67</v>
      </c>
      <c r="C45" s="22">
        <v>0</v>
      </c>
      <c r="D45" s="22">
        <v>61</v>
      </c>
      <c r="E45" s="22">
        <v>709</v>
      </c>
      <c r="F45" s="22">
        <v>0</v>
      </c>
      <c r="G45" s="22">
        <v>352</v>
      </c>
      <c r="H45" s="22">
        <v>0</v>
      </c>
      <c r="I45" s="36">
        <v>390</v>
      </c>
      <c r="J45" s="22">
        <v>28</v>
      </c>
      <c r="K45" s="23">
        <f t="shared" si="4"/>
        <v>0.26818181818181819</v>
      </c>
      <c r="L45" s="24">
        <f t="shared" si="5"/>
        <v>0.24259131633356307</v>
      </c>
      <c r="M45" s="23">
        <f t="shared" si="6"/>
        <v>0.9263157894736842</v>
      </c>
      <c r="N45" s="24">
        <f t="shared" si="7"/>
        <v>0.38448935008192242</v>
      </c>
      <c r="O45" s="37"/>
    </row>
    <row r="46" spans="1:15" x14ac:dyDescent="0.3">
      <c r="A46" s="38"/>
      <c r="B46">
        <v>2</v>
      </c>
      <c r="C46">
        <v>0</v>
      </c>
      <c r="D46">
        <v>128</v>
      </c>
      <c r="E46">
        <v>642</v>
      </c>
      <c r="F46">
        <v>0</v>
      </c>
      <c r="G46">
        <v>235</v>
      </c>
      <c r="H46">
        <v>0</v>
      </c>
      <c r="I46">
        <v>452</v>
      </c>
      <c r="J46">
        <v>83</v>
      </c>
      <c r="K46" s="4">
        <f t="shared" si="4"/>
        <v>0.23571428571428571</v>
      </c>
      <c r="L46" s="4">
        <f t="shared" si="5"/>
        <v>0.17682468021068473</v>
      </c>
      <c r="M46" s="4">
        <f t="shared" si="6"/>
        <v>0.73899371069182385</v>
      </c>
      <c r="N46" s="4">
        <f t="shared" si="7"/>
        <v>0.28536733454766244</v>
      </c>
      <c r="O46" s="39"/>
    </row>
    <row r="47" spans="1:15" ht="15" thickBot="1" x14ac:dyDescent="0.35">
      <c r="A47" s="40"/>
      <c r="B47" s="41">
        <v>2.5</v>
      </c>
      <c r="C47" s="41">
        <v>0</v>
      </c>
      <c r="D47" s="41">
        <v>220</v>
      </c>
      <c r="E47" s="41">
        <v>550</v>
      </c>
      <c r="F47" s="41">
        <v>0</v>
      </c>
      <c r="G47" s="41">
        <v>40</v>
      </c>
      <c r="H47" s="41">
        <v>0</v>
      </c>
      <c r="I47" s="41">
        <v>524</v>
      </c>
      <c r="J47" s="41">
        <v>206</v>
      </c>
      <c r="K47" s="31">
        <f t="shared" si="4"/>
        <v>0.16883116883116883</v>
      </c>
      <c r="L47" s="31">
        <f t="shared" si="5"/>
        <v>3.5906642728904849E-2</v>
      </c>
      <c r="M47" s="31">
        <f t="shared" si="6"/>
        <v>0.16260162601626016</v>
      </c>
      <c r="N47" s="31">
        <f t="shared" si="7"/>
        <v>5.8823529411764705E-2</v>
      </c>
      <c r="O47" s="42"/>
    </row>
    <row r="48" spans="1:15" ht="15.6" thickTop="1" thickBot="1" x14ac:dyDescent="0.35"/>
    <row r="49" spans="1:15" ht="15.6" thickTop="1" thickBot="1" x14ac:dyDescent="0.35">
      <c r="A49" s="56" t="s">
        <v>42</v>
      </c>
      <c r="B49" s="57"/>
      <c r="C49" s="57"/>
      <c r="D49" s="57"/>
      <c r="E49" s="57"/>
      <c r="F49" s="57"/>
      <c r="G49" s="57"/>
      <c r="H49" s="57"/>
      <c r="I49" s="57"/>
      <c r="J49" s="57"/>
      <c r="K49" s="58"/>
      <c r="L49" s="58"/>
      <c r="M49" s="58"/>
      <c r="N49" s="58"/>
      <c r="O49" s="59"/>
    </row>
    <row r="50" spans="1:15" ht="15.6" thickTop="1" thickBot="1" x14ac:dyDescent="0.35">
      <c r="A50" s="33" t="s">
        <v>19</v>
      </c>
      <c r="B50" s="15" t="s">
        <v>32</v>
      </c>
      <c r="C50" s="15" t="s">
        <v>33</v>
      </c>
      <c r="D50" s="15" t="s">
        <v>34</v>
      </c>
      <c r="E50" s="15" t="s">
        <v>35</v>
      </c>
      <c r="F50" s="15" t="s">
        <v>36</v>
      </c>
      <c r="G50" s="15" t="s">
        <v>37</v>
      </c>
      <c r="H50" s="15" t="s">
        <v>38</v>
      </c>
      <c r="I50" s="15" t="s">
        <v>39</v>
      </c>
      <c r="J50" s="15" t="s">
        <v>40</v>
      </c>
      <c r="K50" s="16" t="s">
        <v>10</v>
      </c>
      <c r="L50" s="17" t="s">
        <v>11</v>
      </c>
      <c r="M50" s="18" t="s">
        <v>18</v>
      </c>
      <c r="N50" s="19" t="s">
        <v>12</v>
      </c>
      <c r="O50" s="34" t="s">
        <v>16</v>
      </c>
    </row>
    <row r="51" spans="1:15" ht="15" thickTop="1" x14ac:dyDescent="0.3">
      <c r="A51" s="35" t="s">
        <v>1</v>
      </c>
      <c r="B51" s="22">
        <v>1.67</v>
      </c>
      <c r="C51" s="22">
        <v>0</v>
      </c>
      <c r="D51" s="22">
        <v>357</v>
      </c>
      <c r="E51" s="22">
        <v>28</v>
      </c>
      <c r="F51" s="22">
        <v>0</v>
      </c>
      <c r="G51" s="22">
        <v>385</v>
      </c>
      <c r="H51" s="22">
        <v>0</v>
      </c>
      <c r="I51" s="36">
        <v>0</v>
      </c>
      <c r="J51" s="22">
        <v>0</v>
      </c>
      <c r="K51" s="23">
        <f>(G51+C51+D51+H51)/SUM(C51:J51)</f>
        <v>0.96363636363636362</v>
      </c>
      <c r="L51" s="24">
        <f>(C51+G51)/(C51+G51+E51+I51)</f>
        <v>0.93220338983050843</v>
      </c>
      <c r="M51" s="23">
        <f>(C51+G51)/(C51+G51+F51+J51)</f>
        <v>1</v>
      </c>
      <c r="N51" s="24">
        <f>(2*(M51*L51))/(M51+L51)</f>
        <v>0.96491228070175439</v>
      </c>
      <c r="O51" s="37"/>
    </row>
    <row r="52" spans="1:15" x14ac:dyDescent="0.3">
      <c r="A52" s="38"/>
      <c r="B52">
        <v>2</v>
      </c>
      <c r="C52">
        <v>0</v>
      </c>
      <c r="D52">
        <v>362</v>
      </c>
      <c r="E52">
        <v>23</v>
      </c>
      <c r="F52">
        <v>0</v>
      </c>
      <c r="G52">
        <v>206</v>
      </c>
      <c r="H52">
        <v>0</v>
      </c>
      <c r="I52">
        <v>9</v>
      </c>
      <c r="J52">
        <v>170</v>
      </c>
      <c r="K52" s="4">
        <f t="shared" ref="K52:K71" si="8">(G52+C52+D52+H52)/SUM(C52:J52)</f>
        <v>0.73766233766233769</v>
      </c>
      <c r="L52" s="4">
        <f t="shared" ref="L52:L71" si="9">(C52+G52)/(C52+G52+E52+I52)</f>
        <v>0.86554621848739499</v>
      </c>
      <c r="M52" s="4">
        <f t="shared" ref="M52:M71" si="10">(C52+G52)/(C52+G52+F52+J52)</f>
        <v>0.5478723404255319</v>
      </c>
      <c r="N52" s="4">
        <f t="shared" ref="N52:N71" si="11">(2*(M52*L52))/(M52+L52)</f>
        <v>0.67100977198697076</v>
      </c>
      <c r="O52" s="39"/>
    </row>
    <row r="53" spans="1:15" x14ac:dyDescent="0.3">
      <c r="A53" s="38"/>
      <c r="B53">
        <v>2.5</v>
      </c>
      <c r="C53">
        <v>0</v>
      </c>
      <c r="D53">
        <v>369</v>
      </c>
      <c r="E53">
        <v>19</v>
      </c>
      <c r="F53">
        <v>0</v>
      </c>
      <c r="G53">
        <v>3</v>
      </c>
      <c r="H53">
        <v>0</v>
      </c>
      <c r="I53">
        <v>16</v>
      </c>
      <c r="J53">
        <v>366</v>
      </c>
      <c r="K53" s="4">
        <f t="shared" si="8"/>
        <v>0.48124191461837001</v>
      </c>
      <c r="L53" s="4">
        <f t="shared" si="9"/>
        <v>7.8947368421052627E-2</v>
      </c>
      <c r="M53" s="4">
        <f t="shared" si="10"/>
        <v>8.130081300813009E-3</v>
      </c>
      <c r="N53" s="4">
        <f t="shared" si="11"/>
        <v>1.4742014742014744E-2</v>
      </c>
      <c r="O53" s="39"/>
    </row>
    <row r="54" spans="1:15" x14ac:dyDescent="0.3">
      <c r="A54" s="35" t="s">
        <v>2</v>
      </c>
      <c r="B54" s="22">
        <v>1.67</v>
      </c>
      <c r="C54" s="22">
        <v>0</v>
      </c>
      <c r="D54" s="22">
        <v>170</v>
      </c>
      <c r="E54" s="22">
        <v>215</v>
      </c>
      <c r="F54" s="22">
        <v>0</v>
      </c>
      <c r="G54" s="22">
        <v>358</v>
      </c>
      <c r="H54" s="22">
        <v>0</v>
      </c>
      <c r="I54" s="36">
        <v>18</v>
      </c>
      <c r="J54" s="22">
        <v>9</v>
      </c>
      <c r="K54" s="23">
        <f t="shared" si="8"/>
        <v>0.68571428571428572</v>
      </c>
      <c r="L54" s="24">
        <f t="shared" si="9"/>
        <v>0.60575296108291032</v>
      </c>
      <c r="M54" s="23">
        <f t="shared" si="10"/>
        <v>0.97547683923705719</v>
      </c>
      <c r="N54" s="24">
        <f t="shared" si="11"/>
        <v>0.74739039665970775</v>
      </c>
      <c r="O54" s="37"/>
    </row>
    <row r="55" spans="1:15" x14ac:dyDescent="0.3">
      <c r="A55" s="38"/>
      <c r="B55">
        <v>2</v>
      </c>
      <c r="C55">
        <v>0</v>
      </c>
      <c r="D55">
        <v>211</v>
      </c>
      <c r="E55">
        <v>174</v>
      </c>
      <c r="F55">
        <v>0</v>
      </c>
      <c r="G55">
        <v>200</v>
      </c>
      <c r="H55">
        <v>0</v>
      </c>
      <c r="I55">
        <v>81</v>
      </c>
      <c r="J55">
        <v>104</v>
      </c>
      <c r="K55" s="4">
        <f t="shared" si="8"/>
        <v>0.53376623376623378</v>
      </c>
      <c r="L55" s="4">
        <f t="shared" si="9"/>
        <v>0.43956043956043955</v>
      </c>
      <c r="M55" s="4">
        <f t="shared" si="10"/>
        <v>0.65789473684210531</v>
      </c>
      <c r="N55" s="4">
        <f t="shared" si="11"/>
        <v>0.5270092226613966</v>
      </c>
      <c r="O55" s="39"/>
    </row>
    <row r="56" spans="1:15" x14ac:dyDescent="0.3">
      <c r="A56" s="38"/>
      <c r="B56">
        <v>2.5</v>
      </c>
      <c r="C56">
        <v>0</v>
      </c>
      <c r="D56">
        <v>242</v>
      </c>
      <c r="E56">
        <v>143</v>
      </c>
      <c r="F56">
        <v>0</v>
      </c>
      <c r="G56">
        <v>25</v>
      </c>
      <c r="H56">
        <v>0</v>
      </c>
      <c r="I56">
        <v>131</v>
      </c>
      <c r="J56">
        <v>229</v>
      </c>
      <c r="K56" s="4">
        <f t="shared" si="8"/>
        <v>0.34675324675324676</v>
      </c>
      <c r="L56" s="4">
        <f t="shared" si="9"/>
        <v>8.3612040133779264E-2</v>
      </c>
      <c r="M56" s="4">
        <f t="shared" si="10"/>
        <v>9.8425196850393706E-2</v>
      </c>
      <c r="N56" s="4">
        <f t="shared" si="11"/>
        <v>9.0415913200723341E-2</v>
      </c>
      <c r="O56" s="39"/>
    </row>
    <row r="57" spans="1:15" x14ac:dyDescent="0.3">
      <c r="A57" s="35" t="s">
        <v>3</v>
      </c>
      <c r="B57" s="22">
        <v>1.67</v>
      </c>
      <c r="C57" s="22">
        <v>0</v>
      </c>
      <c r="D57" s="22">
        <v>29</v>
      </c>
      <c r="E57" s="22">
        <v>356</v>
      </c>
      <c r="F57" s="22">
        <v>0</v>
      </c>
      <c r="G57" s="22">
        <v>350</v>
      </c>
      <c r="H57" s="22">
        <v>0</v>
      </c>
      <c r="I57" s="36">
        <v>35</v>
      </c>
      <c r="J57" s="22">
        <v>0</v>
      </c>
      <c r="K57" s="23">
        <f t="shared" si="8"/>
        <v>0.49220779220779221</v>
      </c>
      <c r="L57" s="24">
        <f t="shared" si="9"/>
        <v>0.47233468286099867</v>
      </c>
      <c r="M57" s="23">
        <f t="shared" si="10"/>
        <v>1</v>
      </c>
      <c r="N57" s="24">
        <f t="shared" si="11"/>
        <v>0.64161319890009172</v>
      </c>
      <c r="O57" s="37"/>
    </row>
    <row r="58" spans="1:15" x14ac:dyDescent="0.3">
      <c r="A58" s="38"/>
      <c r="B58">
        <v>2</v>
      </c>
      <c r="C58">
        <v>0</v>
      </c>
      <c r="D58">
        <v>51</v>
      </c>
      <c r="E58">
        <v>334</v>
      </c>
      <c r="F58">
        <v>0</v>
      </c>
      <c r="G58">
        <v>210</v>
      </c>
      <c r="H58">
        <v>0</v>
      </c>
      <c r="I58">
        <v>146</v>
      </c>
      <c r="J58">
        <v>29</v>
      </c>
      <c r="K58" s="4">
        <f t="shared" si="8"/>
        <v>0.33896103896103896</v>
      </c>
      <c r="L58" s="4">
        <f t="shared" si="9"/>
        <v>0.30434782608695654</v>
      </c>
      <c r="M58" s="4">
        <f t="shared" si="10"/>
        <v>0.87866108786610875</v>
      </c>
      <c r="N58" s="4">
        <f t="shared" si="11"/>
        <v>0.45209903121636169</v>
      </c>
      <c r="O58" s="39"/>
    </row>
    <row r="59" spans="1:15" x14ac:dyDescent="0.3">
      <c r="A59" s="38"/>
      <c r="B59">
        <v>2.5</v>
      </c>
      <c r="C59">
        <v>0</v>
      </c>
      <c r="D59">
        <v>100</v>
      </c>
      <c r="E59">
        <v>285</v>
      </c>
      <c r="F59">
        <v>0</v>
      </c>
      <c r="G59">
        <v>30</v>
      </c>
      <c r="H59">
        <v>0</v>
      </c>
      <c r="I59">
        <v>262</v>
      </c>
      <c r="J59">
        <v>93</v>
      </c>
      <c r="K59" s="4">
        <f t="shared" si="8"/>
        <v>0.16883116883116883</v>
      </c>
      <c r="L59" s="4">
        <f t="shared" si="9"/>
        <v>5.1993067590987867E-2</v>
      </c>
      <c r="M59" s="4">
        <f t="shared" si="10"/>
        <v>0.24390243902439024</v>
      </c>
      <c r="N59" s="4">
        <f t="shared" si="11"/>
        <v>8.5714285714285715E-2</v>
      </c>
      <c r="O59" s="39"/>
    </row>
    <row r="60" spans="1:15" x14ac:dyDescent="0.3">
      <c r="A60" s="35" t="s">
        <v>4</v>
      </c>
      <c r="B60" s="22">
        <v>1.67</v>
      </c>
      <c r="C60" s="22">
        <v>0</v>
      </c>
      <c r="D60" s="22">
        <v>160</v>
      </c>
      <c r="E60" s="22">
        <v>225</v>
      </c>
      <c r="F60" s="22">
        <v>0</v>
      </c>
      <c r="G60" s="22">
        <v>369</v>
      </c>
      <c r="H60" s="22">
        <v>0</v>
      </c>
      <c r="I60" s="36">
        <v>11</v>
      </c>
      <c r="J60" s="22">
        <v>5</v>
      </c>
      <c r="K60" s="23">
        <f t="shared" si="8"/>
        <v>0.68701298701298696</v>
      </c>
      <c r="L60" s="24">
        <f t="shared" si="9"/>
        <v>0.60991735537190084</v>
      </c>
      <c r="M60" s="23">
        <f t="shared" si="10"/>
        <v>0.9866310160427807</v>
      </c>
      <c r="N60" s="24">
        <f t="shared" si="11"/>
        <v>0.75383043922369763</v>
      </c>
      <c r="O60" s="37"/>
    </row>
    <row r="61" spans="1:15" x14ac:dyDescent="0.3">
      <c r="A61" s="38"/>
      <c r="B61">
        <v>2</v>
      </c>
      <c r="C61">
        <v>0</v>
      </c>
      <c r="D61">
        <v>200</v>
      </c>
      <c r="E61">
        <v>185</v>
      </c>
      <c r="F61">
        <v>0</v>
      </c>
      <c r="G61">
        <v>196</v>
      </c>
      <c r="H61">
        <v>0</v>
      </c>
      <c r="I61">
        <v>98</v>
      </c>
      <c r="J61">
        <v>91</v>
      </c>
      <c r="K61" s="4">
        <f t="shared" si="8"/>
        <v>0.51428571428571423</v>
      </c>
      <c r="L61" s="4">
        <f t="shared" si="9"/>
        <v>0.40918580375782881</v>
      </c>
      <c r="M61" s="4">
        <f t="shared" si="10"/>
        <v>0.68292682926829273</v>
      </c>
      <c r="N61" s="4">
        <f t="shared" si="11"/>
        <v>0.51174934725848575</v>
      </c>
      <c r="O61" s="39"/>
    </row>
    <row r="62" spans="1:15" x14ac:dyDescent="0.3">
      <c r="A62" s="38"/>
      <c r="B62">
        <v>2.5</v>
      </c>
      <c r="C62">
        <v>0</v>
      </c>
      <c r="D62">
        <v>241</v>
      </c>
      <c r="E62">
        <v>144</v>
      </c>
      <c r="F62">
        <v>0</v>
      </c>
      <c r="G62">
        <v>18</v>
      </c>
      <c r="H62">
        <v>0</v>
      </c>
      <c r="I62">
        <v>138</v>
      </c>
      <c r="J62">
        <v>229</v>
      </c>
      <c r="K62" s="4">
        <f t="shared" si="8"/>
        <v>0.33636363636363636</v>
      </c>
      <c r="L62" s="4">
        <f t="shared" si="9"/>
        <v>0.06</v>
      </c>
      <c r="M62" s="4">
        <f t="shared" si="10"/>
        <v>7.28744939271255E-2</v>
      </c>
      <c r="N62" s="4">
        <f t="shared" si="11"/>
        <v>6.5813528336380253E-2</v>
      </c>
      <c r="O62" s="39"/>
    </row>
    <row r="63" spans="1:15" x14ac:dyDescent="0.3">
      <c r="A63" s="35" t="s">
        <v>5</v>
      </c>
      <c r="B63" s="22">
        <v>1.67</v>
      </c>
      <c r="C63" s="22">
        <v>0</v>
      </c>
      <c r="D63" s="22">
        <v>164</v>
      </c>
      <c r="E63" s="22">
        <v>221</v>
      </c>
      <c r="F63" s="22">
        <v>0</v>
      </c>
      <c r="G63" s="22">
        <v>358</v>
      </c>
      <c r="H63" s="22">
        <v>0</v>
      </c>
      <c r="I63" s="36">
        <v>27</v>
      </c>
      <c r="J63" s="22">
        <v>0</v>
      </c>
      <c r="K63" s="23">
        <f t="shared" si="8"/>
        <v>0.67792207792207793</v>
      </c>
      <c r="L63" s="24">
        <f t="shared" si="9"/>
        <v>0.5907590759075908</v>
      </c>
      <c r="M63" s="23">
        <f t="shared" si="10"/>
        <v>1</v>
      </c>
      <c r="N63" s="24">
        <f t="shared" si="11"/>
        <v>0.74273858921161839</v>
      </c>
      <c r="O63" s="37"/>
    </row>
    <row r="64" spans="1:15" x14ac:dyDescent="0.3">
      <c r="A64" s="38"/>
      <c r="B64">
        <v>2</v>
      </c>
      <c r="C64">
        <v>0</v>
      </c>
      <c r="D64">
        <v>193</v>
      </c>
      <c r="E64">
        <v>192</v>
      </c>
      <c r="F64">
        <v>0</v>
      </c>
      <c r="G64">
        <v>232</v>
      </c>
      <c r="H64">
        <v>0</v>
      </c>
      <c r="I64">
        <v>78</v>
      </c>
      <c r="J64">
        <v>75</v>
      </c>
      <c r="K64" s="4">
        <f t="shared" si="8"/>
        <v>0.55194805194805197</v>
      </c>
      <c r="L64" s="4">
        <f t="shared" si="9"/>
        <v>0.46215139442231074</v>
      </c>
      <c r="M64" s="4">
        <f t="shared" si="10"/>
        <v>0.75570032573289903</v>
      </c>
      <c r="N64" s="4">
        <f t="shared" si="11"/>
        <v>0.57354758961681096</v>
      </c>
      <c r="O64" s="39"/>
    </row>
    <row r="65" spans="1:15" x14ac:dyDescent="0.3">
      <c r="A65" s="38"/>
      <c r="B65">
        <v>2.5</v>
      </c>
      <c r="C65">
        <v>0</v>
      </c>
      <c r="D65">
        <v>238</v>
      </c>
      <c r="E65">
        <v>147</v>
      </c>
      <c r="F65">
        <v>0</v>
      </c>
      <c r="G65">
        <v>33</v>
      </c>
      <c r="H65">
        <v>0</v>
      </c>
      <c r="I65">
        <v>134</v>
      </c>
      <c r="J65">
        <v>218</v>
      </c>
      <c r="K65" s="4">
        <f t="shared" si="8"/>
        <v>0.35194805194805195</v>
      </c>
      <c r="L65" s="4">
        <f t="shared" si="9"/>
        <v>0.10509554140127389</v>
      </c>
      <c r="M65" s="4">
        <f t="shared" si="10"/>
        <v>0.13147410358565736</v>
      </c>
      <c r="N65" s="4">
        <f t="shared" si="11"/>
        <v>0.1168141592920354</v>
      </c>
      <c r="O65" s="39"/>
    </row>
    <row r="66" spans="1:15" x14ac:dyDescent="0.3">
      <c r="A66" s="35" t="s">
        <v>6</v>
      </c>
      <c r="B66" s="22">
        <v>1.67</v>
      </c>
      <c r="C66" s="22">
        <v>0</v>
      </c>
      <c r="D66" s="22">
        <v>37</v>
      </c>
      <c r="E66" s="22">
        <v>348</v>
      </c>
      <c r="F66" s="22">
        <v>0</v>
      </c>
      <c r="G66" s="22">
        <v>354</v>
      </c>
      <c r="H66" s="22">
        <v>0</v>
      </c>
      <c r="I66" s="36">
        <v>31</v>
      </c>
      <c r="J66" s="22">
        <v>0</v>
      </c>
      <c r="K66" s="23">
        <f t="shared" si="8"/>
        <v>0.50779220779220779</v>
      </c>
      <c r="L66" s="24">
        <f t="shared" si="9"/>
        <v>0.48294679399727147</v>
      </c>
      <c r="M66" s="23">
        <f t="shared" si="10"/>
        <v>1</v>
      </c>
      <c r="N66" s="24">
        <f t="shared" si="11"/>
        <v>0.65133394664213429</v>
      </c>
      <c r="O66" s="37"/>
    </row>
    <row r="67" spans="1:15" x14ac:dyDescent="0.3">
      <c r="A67" s="38"/>
      <c r="B67">
        <v>2</v>
      </c>
      <c r="C67">
        <v>0</v>
      </c>
      <c r="D67">
        <v>67</v>
      </c>
      <c r="E67">
        <v>318</v>
      </c>
      <c r="F67">
        <v>0</v>
      </c>
      <c r="G67">
        <v>226</v>
      </c>
      <c r="H67">
        <v>0</v>
      </c>
      <c r="I67">
        <v>131</v>
      </c>
      <c r="J67">
        <v>28</v>
      </c>
      <c r="K67" s="4">
        <f t="shared" si="8"/>
        <v>0.38051948051948054</v>
      </c>
      <c r="L67" s="4">
        <f t="shared" si="9"/>
        <v>0.33481481481481479</v>
      </c>
      <c r="M67" s="4">
        <f t="shared" si="10"/>
        <v>0.88976377952755903</v>
      </c>
      <c r="N67" s="4">
        <f t="shared" si="11"/>
        <v>0.48654467168998927</v>
      </c>
      <c r="O67" s="39"/>
    </row>
    <row r="68" spans="1:15" x14ac:dyDescent="0.3">
      <c r="A68" s="38"/>
      <c r="B68">
        <v>2.5</v>
      </c>
      <c r="C68">
        <v>0</v>
      </c>
      <c r="D68">
        <v>104</v>
      </c>
      <c r="E68">
        <v>281</v>
      </c>
      <c r="F68">
        <v>0</v>
      </c>
      <c r="G68">
        <v>49</v>
      </c>
      <c r="H68">
        <v>0</v>
      </c>
      <c r="I68">
        <v>248</v>
      </c>
      <c r="J68">
        <v>88</v>
      </c>
      <c r="K68" s="4">
        <f t="shared" si="8"/>
        <v>0.19870129870129871</v>
      </c>
      <c r="L68" s="4">
        <f t="shared" si="9"/>
        <v>8.4775086505190306E-2</v>
      </c>
      <c r="M68" s="4">
        <f t="shared" si="10"/>
        <v>0.35766423357664234</v>
      </c>
      <c r="N68" s="4">
        <f t="shared" si="11"/>
        <v>0.13706293706293707</v>
      </c>
      <c r="O68" s="39"/>
    </row>
    <row r="69" spans="1:15" x14ac:dyDescent="0.3">
      <c r="A69" s="35" t="s">
        <v>7</v>
      </c>
      <c r="B69" s="22">
        <v>1.67</v>
      </c>
      <c r="C69" s="22">
        <v>0</v>
      </c>
      <c r="D69" s="22">
        <v>33</v>
      </c>
      <c r="E69" s="22">
        <v>352</v>
      </c>
      <c r="F69" s="22">
        <v>0</v>
      </c>
      <c r="G69" s="22">
        <v>344</v>
      </c>
      <c r="H69" s="22">
        <v>0</v>
      </c>
      <c r="I69" s="36">
        <v>41</v>
      </c>
      <c r="J69" s="22">
        <v>0</v>
      </c>
      <c r="K69" s="23">
        <f t="shared" si="8"/>
        <v>0.48961038961038961</v>
      </c>
      <c r="L69" s="24">
        <f t="shared" si="9"/>
        <v>0.46675712347354137</v>
      </c>
      <c r="M69" s="23">
        <f t="shared" si="10"/>
        <v>1</v>
      </c>
      <c r="N69" s="24">
        <f t="shared" si="11"/>
        <v>0.63644773358001849</v>
      </c>
      <c r="O69" s="37"/>
    </row>
    <row r="70" spans="1:15" x14ac:dyDescent="0.3">
      <c r="A70" s="38"/>
      <c r="B70">
        <v>2</v>
      </c>
      <c r="C70">
        <v>0</v>
      </c>
      <c r="D70">
        <v>61</v>
      </c>
      <c r="E70">
        <v>324</v>
      </c>
      <c r="F70">
        <v>0</v>
      </c>
      <c r="G70">
        <v>226</v>
      </c>
      <c r="H70">
        <v>0</v>
      </c>
      <c r="I70">
        <v>143</v>
      </c>
      <c r="J70">
        <v>16</v>
      </c>
      <c r="K70" s="4">
        <f t="shared" si="8"/>
        <v>0.37272727272727274</v>
      </c>
      <c r="L70" s="4">
        <f t="shared" si="9"/>
        <v>0.32611832611832614</v>
      </c>
      <c r="M70" s="4">
        <f t="shared" si="10"/>
        <v>0.93388429752066116</v>
      </c>
      <c r="N70" s="4">
        <f t="shared" si="11"/>
        <v>0.48342245989304822</v>
      </c>
      <c r="O70" s="39"/>
    </row>
    <row r="71" spans="1:15" ht="15" thickBot="1" x14ac:dyDescent="0.35">
      <c r="A71" s="40"/>
      <c r="B71" s="41">
        <v>2.5</v>
      </c>
      <c r="C71" s="41">
        <v>0</v>
      </c>
      <c r="D71" s="41">
        <v>114</v>
      </c>
      <c r="E71" s="41">
        <v>271</v>
      </c>
      <c r="F71" s="41">
        <v>0</v>
      </c>
      <c r="G71" s="41">
        <v>32</v>
      </c>
      <c r="H71" s="41">
        <v>0</v>
      </c>
      <c r="I71" s="41">
        <v>253</v>
      </c>
      <c r="J71" s="41">
        <v>100</v>
      </c>
      <c r="K71" s="31">
        <f t="shared" si="8"/>
        <v>0.18961038961038962</v>
      </c>
      <c r="L71" s="31">
        <f t="shared" si="9"/>
        <v>5.7553956834532377E-2</v>
      </c>
      <c r="M71" s="31">
        <f t="shared" si="10"/>
        <v>0.24242424242424243</v>
      </c>
      <c r="N71" s="31">
        <f t="shared" si="11"/>
        <v>9.3023255813953501E-2</v>
      </c>
      <c r="O71" s="42"/>
    </row>
    <row r="72" spans="1:15" ht="15.6" thickTop="1" thickBot="1" x14ac:dyDescent="0.35"/>
    <row r="73" spans="1:15" ht="15.6" thickTop="1" thickBot="1" x14ac:dyDescent="0.35">
      <c r="A73" s="60" t="s">
        <v>43</v>
      </c>
      <c r="B73" s="61"/>
      <c r="C73" s="61"/>
      <c r="D73" s="61"/>
      <c r="E73" s="61"/>
      <c r="F73" s="61"/>
      <c r="G73" s="61"/>
      <c r="H73" s="61"/>
      <c r="I73" s="61"/>
      <c r="J73" s="61"/>
      <c r="K73" s="62"/>
      <c r="L73" s="62"/>
      <c r="M73" s="62"/>
      <c r="N73" s="62"/>
      <c r="O73" s="63"/>
    </row>
    <row r="74" spans="1:15" ht="15.6" thickTop="1" thickBot="1" x14ac:dyDescent="0.35">
      <c r="A74" s="33" t="s">
        <v>19</v>
      </c>
      <c r="B74" s="15" t="s">
        <v>32</v>
      </c>
      <c r="C74" s="15" t="s">
        <v>33</v>
      </c>
      <c r="D74" s="15" t="s">
        <v>34</v>
      </c>
      <c r="E74" s="15" t="s">
        <v>35</v>
      </c>
      <c r="F74" s="15" t="s">
        <v>36</v>
      </c>
      <c r="G74" s="15" t="s">
        <v>37</v>
      </c>
      <c r="H74" s="15" t="s">
        <v>38</v>
      </c>
      <c r="I74" s="15" t="s">
        <v>39</v>
      </c>
      <c r="J74" s="15" t="s">
        <v>40</v>
      </c>
      <c r="K74" s="16" t="s">
        <v>10</v>
      </c>
      <c r="L74" s="17" t="s">
        <v>11</v>
      </c>
      <c r="M74" s="18" t="s">
        <v>18</v>
      </c>
      <c r="N74" s="19" t="s">
        <v>12</v>
      </c>
      <c r="O74" s="34" t="s">
        <v>16</v>
      </c>
    </row>
    <row r="75" spans="1:15" ht="15" thickTop="1" x14ac:dyDescent="0.3">
      <c r="A75" s="35" t="s">
        <v>1</v>
      </c>
      <c r="B75" s="22">
        <v>1.67</v>
      </c>
      <c r="C75" s="22">
        <v>0</v>
      </c>
      <c r="D75" s="22">
        <v>342</v>
      </c>
      <c r="E75" s="22">
        <v>43</v>
      </c>
      <c r="F75" s="22">
        <v>0</v>
      </c>
      <c r="G75" s="22">
        <v>3</v>
      </c>
      <c r="H75" s="22">
        <v>0</v>
      </c>
      <c r="I75" s="36">
        <v>40</v>
      </c>
      <c r="J75" s="22">
        <v>342</v>
      </c>
      <c r="K75" s="23">
        <f>(G75+C75+D75+H75)/SUM(C75:J75)</f>
        <v>0.44805194805194803</v>
      </c>
      <c r="L75" s="24">
        <f>(C75+G75)/(C75+G75+E75+I75)</f>
        <v>3.4883720930232558E-2</v>
      </c>
      <c r="M75" s="23">
        <f>(C75+G75)/(C75+G75+F75+J75)</f>
        <v>8.6956521739130436E-3</v>
      </c>
      <c r="N75" s="24">
        <f>(2*(M75*L75))/(M75+L75)</f>
        <v>1.3921113689095127E-2</v>
      </c>
      <c r="O75" s="37"/>
    </row>
    <row r="76" spans="1:15" x14ac:dyDescent="0.3">
      <c r="A76" s="38"/>
      <c r="B76">
        <v>2</v>
      </c>
      <c r="C76">
        <v>0</v>
      </c>
      <c r="D76">
        <v>357</v>
      </c>
      <c r="E76">
        <v>28</v>
      </c>
      <c r="F76">
        <v>0</v>
      </c>
      <c r="G76">
        <v>2</v>
      </c>
      <c r="H76">
        <v>0</v>
      </c>
      <c r="I76">
        <v>26</v>
      </c>
      <c r="J76">
        <v>357</v>
      </c>
      <c r="K76" s="4">
        <f t="shared" ref="K76:K95" si="12">(G76+C76+D76+H76)/SUM(C76:J76)</f>
        <v>0.46623376623376622</v>
      </c>
      <c r="L76" s="4">
        <f t="shared" ref="L76:L95" si="13">(C76+G76)/(C76+G76+E76+I76)</f>
        <v>3.5714285714285712E-2</v>
      </c>
      <c r="M76" s="4">
        <f t="shared" ref="M76:M95" si="14">(C76+G76)/(C76+G76+F76+J76)</f>
        <v>5.5710306406685237E-3</v>
      </c>
      <c r="N76" s="4">
        <f t="shared" ref="N76:N95" si="15">(2*(M76*L76))/(M76+L76)</f>
        <v>9.6385542168674707E-3</v>
      </c>
      <c r="O76" s="39"/>
    </row>
    <row r="77" spans="1:15" x14ac:dyDescent="0.3">
      <c r="A77" s="38"/>
      <c r="B77">
        <v>2.5</v>
      </c>
      <c r="C77">
        <v>0</v>
      </c>
      <c r="D77">
        <v>363</v>
      </c>
      <c r="E77">
        <v>22</v>
      </c>
      <c r="F77">
        <v>0</v>
      </c>
      <c r="G77">
        <v>2</v>
      </c>
      <c r="H77">
        <v>0</v>
      </c>
      <c r="I77">
        <v>20</v>
      </c>
      <c r="J77">
        <v>363</v>
      </c>
      <c r="K77" s="4">
        <f t="shared" si="12"/>
        <v>0.47402597402597402</v>
      </c>
      <c r="L77" s="4">
        <f t="shared" si="13"/>
        <v>4.5454545454545456E-2</v>
      </c>
      <c r="M77" s="4">
        <f t="shared" si="14"/>
        <v>5.4794520547945206E-3</v>
      </c>
      <c r="N77" s="4">
        <f t="shared" si="15"/>
        <v>9.7799511002444987E-3</v>
      </c>
      <c r="O77" s="39"/>
    </row>
    <row r="78" spans="1:15" x14ac:dyDescent="0.3">
      <c r="A78" s="35" t="s">
        <v>2</v>
      </c>
      <c r="B78" s="22">
        <v>1.67</v>
      </c>
      <c r="C78" s="22">
        <v>0</v>
      </c>
      <c r="D78" s="22">
        <v>170</v>
      </c>
      <c r="E78" s="22">
        <v>245</v>
      </c>
      <c r="F78" s="22">
        <v>0</v>
      </c>
      <c r="G78" s="22">
        <v>3</v>
      </c>
      <c r="H78" s="22">
        <v>0</v>
      </c>
      <c r="I78" s="36">
        <v>212</v>
      </c>
      <c r="J78" s="22">
        <v>170</v>
      </c>
      <c r="K78" s="23">
        <f t="shared" si="12"/>
        <v>0.21625</v>
      </c>
      <c r="L78" s="24">
        <f t="shared" si="13"/>
        <v>6.5217391304347823E-3</v>
      </c>
      <c r="M78" s="23">
        <f t="shared" si="14"/>
        <v>1.7341040462427744E-2</v>
      </c>
      <c r="N78" s="24">
        <f t="shared" si="15"/>
        <v>9.4786729857819895E-3</v>
      </c>
      <c r="O78" s="37"/>
    </row>
    <row r="79" spans="1:15" x14ac:dyDescent="0.3">
      <c r="A79" s="38"/>
      <c r="B79">
        <v>2</v>
      </c>
      <c r="C79">
        <v>0</v>
      </c>
      <c r="D79">
        <v>211</v>
      </c>
      <c r="E79">
        <v>174</v>
      </c>
      <c r="F79">
        <v>0</v>
      </c>
      <c r="G79">
        <v>3</v>
      </c>
      <c r="H79">
        <v>0</v>
      </c>
      <c r="I79">
        <v>171</v>
      </c>
      <c r="J79">
        <v>211</v>
      </c>
      <c r="K79" s="4">
        <f t="shared" si="12"/>
        <v>0.2779220779220779</v>
      </c>
      <c r="L79" s="4">
        <f t="shared" si="13"/>
        <v>8.6206896551724137E-3</v>
      </c>
      <c r="M79" s="4">
        <f t="shared" si="14"/>
        <v>1.4018691588785047E-2</v>
      </c>
      <c r="N79" s="4">
        <f t="shared" si="15"/>
        <v>1.0676156583629895E-2</v>
      </c>
      <c r="O79" s="39"/>
    </row>
    <row r="80" spans="1:15" x14ac:dyDescent="0.3">
      <c r="A80" s="38"/>
      <c r="B80">
        <v>2.5</v>
      </c>
      <c r="C80">
        <v>0</v>
      </c>
      <c r="D80">
        <v>245</v>
      </c>
      <c r="E80">
        <v>140</v>
      </c>
      <c r="F80">
        <v>0</v>
      </c>
      <c r="G80">
        <v>1</v>
      </c>
      <c r="H80">
        <v>0</v>
      </c>
      <c r="I80">
        <v>139</v>
      </c>
      <c r="J80">
        <v>245</v>
      </c>
      <c r="K80" s="4">
        <f t="shared" si="12"/>
        <v>0.31948051948051948</v>
      </c>
      <c r="L80" s="4">
        <f t="shared" si="13"/>
        <v>3.5714285714285713E-3</v>
      </c>
      <c r="M80" s="4">
        <f t="shared" si="14"/>
        <v>4.0650406504065045E-3</v>
      </c>
      <c r="N80" s="4">
        <f t="shared" si="15"/>
        <v>3.8022813688212928E-3</v>
      </c>
      <c r="O80" s="39"/>
    </row>
    <row r="81" spans="1:15" x14ac:dyDescent="0.3">
      <c r="A81" s="35" t="s">
        <v>3</v>
      </c>
      <c r="B81" s="22">
        <v>1.67</v>
      </c>
      <c r="C81" s="22">
        <v>0</v>
      </c>
      <c r="D81" s="22">
        <v>30</v>
      </c>
      <c r="E81" s="22">
        <v>355</v>
      </c>
      <c r="F81" s="22">
        <v>0</v>
      </c>
      <c r="G81" s="22">
        <v>2</v>
      </c>
      <c r="H81" s="22">
        <v>0</v>
      </c>
      <c r="I81" s="36">
        <v>353</v>
      </c>
      <c r="J81" s="22">
        <v>30</v>
      </c>
      <c r="K81" s="23">
        <f t="shared" si="12"/>
        <v>4.1558441558441558E-2</v>
      </c>
      <c r="L81" s="24">
        <f t="shared" si="13"/>
        <v>2.8169014084507044E-3</v>
      </c>
      <c r="M81" s="23">
        <f t="shared" si="14"/>
        <v>6.25E-2</v>
      </c>
      <c r="N81" s="24">
        <f t="shared" si="15"/>
        <v>5.3908355795148251E-3</v>
      </c>
      <c r="O81" s="37"/>
    </row>
    <row r="82" spans="1:15" x14ac:dyDescent="0.3">
      <c r="A82" s="38"/>
      <c r="B82">
        <v>2</v>
      </c>
      <c r="C82">
        <v>0</v>
      </c>
      <c r="D82">
        <v>67</v>
      </c>
      <c r="E82">
        <v>318</v>
      </c>
      <c r="F82">
        <v>0</v>
      </c>
      <c r="G82">
        <v>3</v>
      </c>
      <c r="H82">
        <v>0</v>
      </c>
      <c r="I82">
        <v>315</v>
      </c>
      <c r="J82">
        <v>67</v>
      </c>
      <c r="K82" s="4">
        <f t="shared" si="12"/>
        <v>9.0909090909090912E-2</v>
      </c>
      <c r="L82" s="4">
        <f t="shared" si="13"/>
        <v>4.7169811320754715E-3</v>
      </c>
      <c r="M82" s="4">
        <f t="shared" si="14"/>
        <v>4.2857142857142858E-2</v>
      </c>
      <c r="N82" s="4">
        <f t="shared" si="15"/>
        <v>8.4985835694051E-3</v>
      </c>
      <c r="O82" s="39"/>
    </row>
    <row r="83" spans="1:15" x14ac:dyDescent="0.3">
      <c r="A83" s="38"/>
      <c r="B83">
        <v>2.5</v>
      </c>
      <c r="C83">
        <v>0</v>
      </c>
      <c r="D83">
        <v>116</v>
      </c>
      <c r="E83">
        <v>269</v>
      </c>
      <c r="F83">
        <v>0</v>
      </c>
      <c r="G83">
        <v>2</v>
      </c>
      <c r="H83">
        <v>0</v>
      </c>
      <c r="I83">
        <v>267</v>
      </c>
      <c r="J83">
        <v>116</v>
      </c>
      <c r="K83" s="4">
        <f t="shared" si="12"/>
        <v>0.15324675324675324</v>
      </c>
      <c r="L83" s="4">
        <f t="shared" si="13"/>
        <v>3.7174721189591076E-3</v>
      </c>
      <c r="M83" s="4">
        <f t="shared" si="14"/>
        <v>1.6949152542372881E-2</v>
      </c>
      <c r="N83" s="4">
        <f t="shared" si="15"/>
        <v>6.0975609756097554E-3</v>
      </c>
      <c r="O83" s="39"/>
    </row>
    <row r="84" spans="1:15" x14ac:dyDescent="0.3">
      <c r="A84" s="35" t="s">
        <v>4</v>
      </c>
      <c r="B84" s="22">
        <v>1.67</v>
      </c>
      <c r="C84" s="22">
        <v>0</v>
      </c>
      <c r="D84" s="22">
        <v>169</v>
      </c>
      <c r="E84" s="22">
        <v>216</v>
      </c>
      <c r="F84" s="22">
        <v>0</v>
      </c>
      <c r="G84" s="22">
        <v>1</v>
      </c>
      <c r="H84" s="22">
        <v>0</v>
      </c>
      <c r="I84" s="36">
        <v>215</v>
      </c>
      <c r="J84" s="22">
        <v>169</v>
      </c>
      <c r="K84" s="23">
        <f t="shared" si="12"/>
        <v>0.22077922077922077</v>
      </c>
      <c r="L84" s="24">
        <f>(C84+G84)/(C84+G84+E84+I84)</f>
        <v>2.3148148148148147E-3</v>
      </c>
      <c r="M84" s="23">
        <f t="shared" si="14"/>
        <v>5.8823529411764705E-3</v>
      </c>
      <c r="N84" s="24">
        <f t="shared" si="15"/>
        <v>3.3222591362126247E-3</v>
      </c>
      <c r="O84" s="37"/>
    </row>
    <row r="85" spans="1:15" x14ac:dyDescent="0.3">
      <c r="A85" s="38"/>
      <c r="B85">
        <v>2</v>
      </c>
      <c r="C85">
        <v>0</v>
      </c>
      <c r="D85">
        <v>209</v>
      </c>
      <c r="E85">
        <v>176</v>
      </c>
      <c r="F85">
        <v>0</v>
      </c>
      <c r="G85">
        <v>1</v>
      </c>
      <c r="H85">
        <v>0</v>
      </c>
      <c r="I85">
        <v>175</v>
      </c>
      <c r="J85">
        <v>209</v>
      </c>
      <c r="K85" s="4">
        <f t="shared" si="12"/>
        <v>0.27272727272727271</v>
      </c>
      <c r="L85" s="4">
        <f t="shared" si="13"/>
        <v>2.840909090909091E-3</v>
      </c>
      <c r="M85" s="4">
        <f t="shared" si="14"/>
        <v>4.7619047619047623E-3</v>
      </c>
      <c r="N85" s="4">
        <f t="shared" si="15"/>
        <v>3.5587188612099647E-3</v>
      </c>
      <c r="O85" s="39"/>
    </row>
    <row r="86" spans="1:15" x14ac:dyDescent="0.3">
      <c r="A86" s="38"/>
      <c r="B86">
        <v>2.5</v>
      </c>
      <c r="C86">
        <v>0</v>
      </c>
      <c r="D86">
        <v>243</v>
      </c>
      <c r="E86">
        <v>142</v>
      </c>
      <c r="F86">
        <v>0</v>
      </c>
      <c r="G86">
        <v>2</v>
      </c>
      <c r="H86">
        <v>0</v>
      </c>
      <c r="I86">
        <v>140</v>
      </c>
      <c r="J86">
        <v>243</v>
      </c>
      <c r="K86" s="4">
        <f t="shared" si="12"/>
        <v>0.31818181818181818</v>
      </c>
      <c r="L86" s="4">
        <f t="shared" si="13"/>
        <v>7.0422535211267607E-3</v>
      </c>
      <c r="M86" s="4">
        <f t="shared" si="14"/>
        <v>8.1632653061224497E-3</v>
      </c>
      <c r="N86" s="4">
        <f t="shared" si="15"/>
        <v>7.5614366729678641E-3</v>
      </c>
      <c r="O86" s="39"/>
    </row>
    <row r="87" spans="1:15" x14ac:dyDescent="0.3">
      <c r="A87" s="35" t="s">
        <v>5</v>
      </c>
      <c r="B87" s="22">
        <v>1.67</v>
      </c>
      <c r="C87" s="22">
        <v>0</v>
      </c>
      <c r="D87" s="22">
        <v>163</v>
      </c>
      <c r="E87" s="22">
        <v>222</v>
      </c>
      <c r="F87" s="22">
        <v>0</v>
      </c>
      <c r="G87" s="22">
        <v>3</v>
      </c>
      <c r="H87" s="22">
        <v>0</v>
      </c>
      <c r="I87" s="36">
        <v>219</v>
      </c>
      <c r="J87" s="22">
        <v>163</v>
      </c>
      <c r="K87" s="23">
        <f t="shared" si="12"/>
        <v>0.21558441558441557</v>
      </c>
      <c r="L87" s="24">
        <f t="shared" si="13"/>
        <v>6.7567567567567571E-3</v>
      </c>
      <c r="M87" s="23">
        <f t="shared" si="14"/>
        <v>1.8072289156626505E-2</v>
      </c>
      <c r="N87" s="24">
        <f t="shared" si="15"/>
        <v>9.8360655737704927E-3</v>
      </c>
      <c r="O87" s="37"/>
    </row>
    <row r="88" spans="1:15" x14ac:dyDescent="0.3">
      <c r="A88" s="38"/>
      <c r="B88">
        <v>2</v>
      </c>
      <c r="C88">
        <v>0</v>
      </c>
      <c r="D88">
        <v>200</v>
      </c>
      <c r="E88">
        <v>185</v>
      </c>
      <c r="F88">
        <v>0</v>
      </c>
      <c r="G88">
        <v>3</v>
      </c>
      <c r="H88">
        <v>0</v>
      </c>
      <c r="I88">
        <v>182</v>
      </c>
      <c r="J88">
        <v>200</v>
      </c>
      <c r="K88" s="4">
        <f t="shared" si="12"/>
        <v>0.26363636363636361</v>
      </c>
      <c r="L88" s="4">
        <f t="shared" si="13"/>
        <v>8.1081081081081086E-3</v>
      </c>
      <c r="M88" s="4">
        <f t="shared" si="14"/>
        <v>1.4778325123152709E-2</v>
      </c>
      <c r="N88" s="4">
        <f t="shared" si="15"/>
        <v>1.0471204188481676E-2</v>
      </c>
      <c r="O88" s="39"/>
    </row>
    <row r="89" spans="1:15" x14ac:dyDescent="0.3">
      <c r="A89" s="38"/>
      <c r="B89">
        <v>2.5</v>
      </c>
      <c r="C89">
        <v>0</v>
      </c>
      <c r="D89">
        <v>248</v>
      </c>
      <c r="E89">
        <v>137</v>
      </c>
      <c r="F89">
        <v>0</v>
      </c>
      <c r="G89">
        <v>1</v>
      </c>
      <c r="H89">
        <v>0</v>
      </c>
      <c r="I89">
        <v>136</v>
      </c>
      <c r="J89">
        <v>248</v>
      </c>
      <c r="K89" s="4">
        <f t="shared" si="12"/>
        <v>0.32337662337662337</v>
      </c>
      <c r="L89" s="4">
        <f t="shared" si="13"/>
        <v>3.6496350364963502E-3</v>
      </c>
      <c r="M89" s="4">
        <f t="shared" si="14"/>
        <v>4.0160642570281121E-3</v>
      </c>
      <c r="N89" s="4">
        <f t="shared" si="15"/>
        <v>3.8240917782026763E-3</v>
      </c>
      <c r="O89" s="39"/>
    </row>
    <row r="90" spans="1:15" x14ac:dyDescent="0.3">
      <c r="A90" s="35" t="s">
        <v>6</v>
      </c>
      <c r="B90" s="22">
        <v>1.67</v>
      </c>
      <c r="C90" s="22">
        <v>0</v>
      </c>
      <c r="D90" s="22">
        <v>36</v>
      </c>
      <c r="E90" s="22">
        <v>349</v>
      </c>
      <c r="F90" s="22">
        <v>0</v>
      </c>
      <c r="G90" s="22">
        <v>7</v>
      </c>
      <c r="H90" s="22">
        <v>0</v>
      </c>
      <c r="I90" s="36">
        <v>342</v>
      </c>
      <c r="J90" s="22">
        <v>36</v>
      </c>
      <c r="K90" s="23">
        <f t="shared" si="12"/>
        <v>5.5844155844155842E-2</v>
      </c>
      <c r="L90" s="24">
        <f t="shared" si="13"/>
        <v>1.0028653295128941E-2</v>
      </c>
      <c r="M90" s="23">
        <f t="shared" si="14"/>
        <v>0.16279069767441862</v>
      </c>
      <c r="N90" s="24">
        <f t="shared" si="15"/>
        <v>1.8893387314439947E-2</v>
      </c>
      <c r="O90" s="37"/>
    </row>
    <row r="91" spans="1:15" x14ac:dyDescent="0.3">
      <c r="A91" s="38"/>
      <c r="B91">
        <v>2</v>
      </c>
      <c r="C91">
        <v>0</v>
      </c>
      <c r="D91">
        <v>78</v>
      </c>
      <c r="E91">
        <v>307</v>
      </c>
      <c r="F91">
        <v>0</v>
      </c>
      <c r="G91">
        <v>5</v>
      </c>
      <c r="H91">
        <v>0</v>
      </c>
      <c r="I91">
        <v>302</v>
      </c>
      <c r="J91">
        <v>78</v>
      </c>
      <c r="K91" s="4">
        <f t="shared" si="12"/>
        <v>0.10779220779220779</v>
      </c>
      <c r="L91" s="4">
        <f t="shared" si="13"/>
        <v>8.1433224755700327E-3</v>
      </c>
      <c r="M91" s="4">
        <f t="shared" si="14"/>
        <v>6.0240963855421686E-2</v>
      </c>
      <c r="N91" s="4">
        <f t="shared" si="15"/>
        <v>1.4347202295552365E-2</v>
      </c>
      <c r="O91" s="39"/>
    </row>
    <row r="92" spans="1:15" x14ac:dyDescent="0.3">
      <c r="A92" s="38"/>
      <c r="B92">
        <v>2.5</v>
      </c>
      <c r="C92">
        <v>0</v>
      </c>
      <c r="D92">
        <v>131</v>
      </c>
      <c r="E92">
        <v>254</v>
      </c>
      <c r="F92">
        <v>0</v>
      </c>
      <c r="G92">
        <v>4</v>
      </c>
      <c r="H92">
        <v>0</v>
      </c>
      <c r="I92">
        <v>250</v>
      </c>
      <c r="J92">
        <v>131</v>
      </c>
      <c r="K92" s="4">
        <f t="shared" si="12"/>
        <v>0.17532467532467533</v>
      </c>
      <c r="L92" s="4">
        <f t="shared" si="13"/>
        <v>7.874015748031496E-3</v>
      </c>
      <c r="M92" s="4">
        <f t="shared" si="14"/>
        <v>2.9629629629629631E-2</v>
      </c>
      <c r="N92" s="4">
        <f t="shared" si="15"/>
        <v>1.2441679626749611E-2</v>
      </c>
      <c r="O92" s="39"/>
    </row>
    <row r="93" spans="1:15" x14ac:dyDescent="0.3">
      <c r="A93" s="35" t="s">
        <v>7</v>
      </c>
      <c r="B93" s="22">
        <v>1.67</v>
      </c>
      <c r="C93" s="22">
        <v>0</v>
      </c>
      <c r="D93" s="22">
        <v>28</v>
      </c>
      <c r="E93" s="22">
        <v>357</v>
      </c>
      <c r="F93" s="22">
        <v>0</v>
      </c>
      <c r="G93" s="22">
        <v>8</v>
      </c>
      <c r="H93" s="22">
        <v>0</v>
      </c>
      <c r="I93" s="36">
        <v>349</v>
      </c>
      <c r="J93" s="22">
        <v>28</v>
      </c>
      <c r="K93" s="23">
        <f t="shared" si="12"/>
        <v>4.6753246753246755E-2</v>
      </c>
      <c r="L93" s="24">
        <f t="shared" si="13"/>
        <v>1.1204481792717087E-2</v>
      </c>
      <c r="M93" s="23">
        <f t="shared" si="14"/>
        <v>0.22222222222222221</v>
      </c>
      <c r="N93" s="24">
        <f t="shared" si="15"/>
        <v>2.1333333333333333E-2</v>
      </c>
      <c r="O93" s="37"/>
    </row>
    <row r="94" spans="1:15" x14ac:dyDescent="0.3">
      <c r="A94" s="38"/>
      <c r="B94">
        <v>2</v>
      </c>
      <c r="C94">
        <v>0</v>
      </c>
      <c r="D94">
        <v>67</v>
      </c>
      <c r="E94">
        <v>318</v>
      </c>
      <c r="F94">
        <v>0</v>
      </c>
      <c r="G94">
        <v>9</v>
      </c>
      <c r="H94">
        <v>0</v>
      </c>
      <c r="I94">
        <v>309</v>
      </c>
      <c r="J94">
        <v>67</v>
      </c>
      <c r="K94" s="4">
        <f t="shared" si="12"/>
        <v>9.8701298701298706E-2</v>
      </c>
      <c r="L94" s="4">
        <f t="shared" si="13"/>
        <v>1.4150943396226415E-2</v>
      </c>
      <c r="M94" s="4">
        <f t="shared" si="14"/>
        <v>0.11842105263157894</v>
      </c>
      <c r="N94" s="4">
        <f t="shared" si="15"/>
        <v>2.5280898876404494E-2</v>
      </c>
      <c r="O94" s="39"/>
    </row>
    <row r="95" spans="1:15" ht="15" thickBot="1" x14ac:dyDescent="0.35">
      <c r="A95" s="40"/>
      <c r="B95" s="41">
        <v>2.5</v>
      </c>
      <c r="C95" s="41">
        <v>0</v>
      </c>
      <c r="D95" s="41">
        <v>106</v>
      </c>
      <c r="E95" s="41">
        <v>279</v>
      </c>
      <c r="F95" s="41">
        <v>0</v>
      </c>
      <c r="G95" s="41">
        <v>8</v>
      </c>
      <c r="H95" s="41">
        <v>0</v>
      </c>
      <c r="I95" s="41">
        <v>271</v>
      </c>
      <c r="J95" s="41">
        <v>106</v>
      </c>
      <c r="K95" s="31">
        <f t="shared" si="12"/>
        <v>0.14805194805194805</v>
      </c>
      <c r="L95" s="31">
        <f t="shared" si="13"/>
        <v>1.4336917562724014E-2</v>
      </c>
      <c r="M95" s="31">
        <f t="shared" si="14"/>
        <v>7.0175438596491224E-2</v>
      </c>
      <c r="N95" s="31">
        <f t="shared" si="15"/>
        <v>2.3809523809523808E-2</v>
      </c>
      <c r="O95" s="42"/>
    </row>
    <row r="96" spans="1:15" ht="15" thickTop="1" x14ac:dyDescent="0.3"/>
  </sheetData>
  <mergeCells count="4">
    <mergeCell ref="A1:O1"/>
    <mergeCell ref="A25:O25"/>
    <mergeCell ref="A49:O49"/>
    <mergeCell ref="A73:O73"/>
  </mergeCells>
  <pageMargins left="0.7" right="0.7" top="0.75" bottom="0.75" header="0.3" footer="0.3"/>
  <pageSetup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B486-4102-43A4-B7E4-005A222BA042}">
  <dimension ref="A1:C8"/>
  <sheetViews>
    <sheetView workbookViewId="0">
      <selection activeCell="B5" sqref="B5:C5"/>
    </sheetView>
  </sheetViews>
  <sheetFormatPr defaultRowHeight="14.4" x14ac:dyDescent="0.3"/>
  <sheetData>
    <row r="1" spans="1:3" x14ac:dyDescent="0.3">
      <c r="A1" s="3" t="s">
        <v>19</v>
      </c>
      <c r="B1" s="3" t="s">
        <v>20</v>
      </c>
      <c r="C1" s="3" t="s">
        <v>21</v>
      </c>
    </row>
    <row r="2" spans="1:3" x14ac:dyDescent="0.3">
      <c r="A2" s="8">
        <v>1</v>
      </c>
      <c r="B2" s="8">
        <v>0</v>
      </c>
      <c r="C2" s="8">
        <v>0</v>
      </c>
    </row>
    <row r="3" spans="1:3" x14ac:dyDescent="0.3">
      <c r="A3" s="8">
        <v>2</v>
      </c>
      <c r="B3" s="8">
        <v>20</v>
      </c>
      <c r="C3" s="8">
        <v>0</v>
      </c>
    </row>
    <row r="4" spans="1:3" x14ac:dyDescent="0.3">
      <c r="A4" s="8">
        <v>3</v>
      </c>
      <c r="B4" s="8">
        <v>70</v>
      </c>
      <c r="C4" s="8">
        <v>0</v>
      </c>
    </row>
    <row r="5" spans="1:3" x14ac:dyDescent="0.3">
      <c r="A5" s="8">
        <v>4</v>
      </c>
      <c r="B5" s="8">
        <v>20</v>
      </c>
      <c r="C5" s="8">
        <v>20</v>
      </c>
    </row>
    <row r="6" spans="1:3" x14ac:dyDescent="0.3">
      <c r="A6" s="8">
        <v>5</v>
      </c>
      <c r="B6" s="8">
        <v>20</v>
      </c>
      <c r="C6" s="8">
        <v>70</v>
      </c>
    </row>
    <row r="7" spans="1:3" x14ac:dyDescent="0.3">
      <c r="A7" s="8">
        <v>6</v>
      </c>
      <c r="B7" s="8">
        <v>70</v>
      </c>
      <c r="C7" s="8">
        <v>20</v>
      </c>
    </row>
    <row r="8" spans="1:3" x14ac:dyDescent="0.3">
      <c r="A8" s="8">
        <v>7</v>
      </c>
      <c r="B8" s="8">
        <v>70</v>
      </c>
      <c r="C8" s="8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</vt:lpstr>
      <vt:lpstr>SVM</vt:lpstr>
      <vt:lpstr>Sheet1</vt:lpstr>
      <vt:lpstr>Anomaly Coefficient</vt:lpstr>
      <vt:lpstr>Dataset 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Zildjian Joshua</dc:creator>
  <cp:lastModifiedBy>Zildjian Joshua</cp:lastModifiedBy>
  <dcterms:created xsi:type="dcterms:W3CDTF">2021-06-10T02:02:23Z</dcterms:created>
  <dcterms:modified xsi:type="dcterms:W3CDTF">2021-07-07T08:54:03Z</dcterms:modified>
</cp:coreProperties>
</file>