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3020"/>
  </bookViews>
  <sheets>
    <sheet name="Calculator" sheetId="1" r:id="rId1"/>
    <sheet name="Paramet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4" i="1" l="1"/>
  <c r="O13" i="1"/>
  <c r="O12" i="1"/>
  <c r="O11" i="1"/>
  <c r="O10" i="1"/>
  <c r="O9" i="1"/>
  <c r="O8" i="1"/>
  <c r="O7" i="1"/>
  <c r="M13" i="1"/>
  <c r="M12" i="1"/>
  <c r="M11" i="1"/>
  <c r="M10" i="1"/>
  <c r="M9" i="1"/>
  <c r="M8" i="1"/>
  <c r="M7" i="1"/>
  <c r="M3" i="1"/>
  <c r="M2" i="1"/>
  <c r="M5" i="1" l="1"/>
  <c r="N9" i="1" s="1" a="1"/>
  <c r="N9" i="1" s="1"/>
  <c r="F18" i="1"/>
  <c r="J16" i="1"/>
  <c r="J15" i="1"/>
  <c r="J14" i="1"/>
  <c r="J13" i="1"/>
  <c r="J12" i="1"/>
  <c r="J11" i="1"/>
  <c r="J10" i="1"/>
  <c r="G12" i="1" l="1"/>
  <c r="E12" i="1" s="1"/>
  <c r="D12" i="1" s="1"/>
  <c r="C12" i="1" s="1"/>
  <c r="N8" i="1" a="1"/>
  <c r="N8" i="1" s="1"/>
  <c r="B12" i="1"/>
  <c r="N12" i="1" a="1"/>
  <c r="N12" i="1" s="1"/>
  <c r="N11" i="1" a="1"/>
  <c r="N11" i="1" s="1"/>
  <c r="N10" i="1" a="1"/>
  <c r="N10" i="1" s="1"/>
  <c r="N7" i="1" a="1"/>
  <c r="N7" i="1" s="1"/>
  <c r="N13" i="1" a="1"/>
  <c r="N13" i="1" s="1"/>
  <c r="B11" i="1" l="1"/>
  <c r="C11" i="1"/>
  <c r="H11" i="1" s="1"/>
  <c r="B10" i="1"/>
  <c r="D10" i="1"/>
  <c r="H10" i="1" s="1"/>
  <c r="G13" i="1"/>
  <c r="E13" i="1" s="1"/>
  <c r="D13" i="1" s="1"/>
  <c r="C13" i="1" s="1"/>
  <c r="B13" i="1"/>
  <c r="B14" i="1"/>
  <c r="G14" i="1"/>
  <c r="E14" i="1" s="1"/>
  <c r="D14" i="1" s="1"/>
  <c r="C14" i="1" s="1"/>
  <c r="H14" i="1" s="1"/>
  <c r="C16" i="1"/>
  <c r="H16" i="1" s="1"/>
  <c r="B16" i="1"/>
  <c r="B15" i="1"/>
  <c r="G15" i="1"/>
  <c r="E15" i="1" s="1"/>
  <c r="D15" i="1" s="1"/>
  <c r="C15" i="1" s="1"/>
  <c r="H15" i="1" s="1"/>
  <c r="H12" i="1"/>
  <c r="C10" i="1" l="1"/>
  <c r="H13" i="1"/>
  <c r="D18" i="1" l="1"/>
</calcChain>
</file>

<file path=xl/sharedStrings.xml><?xml version="1.0" encoding="utf-8"?>
<sst xmlns="http://schemas.openxmlformats.org/spreadsheetml/2006/main" count="116" uniqueCount="51">
  <si>
    <t>Sample statistics</t>
  </si>
  <si>
    <t>SF-12 PCS</t>
  </si>
  <si>
    <t>SF-12 MCS</t>
  </si>
  <si>
    <t>Mean</t>
  </si>
  <si>
    <t>Correlation (optional)</t>
  </si>
  <si>
    <t>PF</t>
  </si>
  <si>
    <t>RL</t>
  </si>
  <si>
    <t>SF</t>
  </si>
  <si>
    <t>PAIN</t>
  </si>
  <si>
    <t>MH</t>
  </si>
  <si>
    <t>VIT</t>
  </si>
  <si>
    <t>MOST</t>
  </si>
  <si>
    <t>PCS</t>
  </si>
  <si>
    <t>MCS</t>
  </si>
  <si>
    <t>Cutpoint 1</t>
  </si>
  <si>
    <t>Cutpoint 2</t>
  </si>
  <si>
    <t>Cutpoint 3</t>
  </si>
  <si>
    <t>Cutpoint 4</t>
  </si>
  <si>
    <t>Correlation(PCS, MCS)</t>
  </si>
  <si>
    <t>--</t>
  </si>
  <si>
    <t>Predicted SF-6D distribution</t>
  </si>
  <si>
    <t>Dimension</t>
  </si>
  <si>
    <t>Working</t>
  </si>
  <si>
    <t>mu_y</t>
  </si>
  <si>
    <t>sd_y</t>
  </si>
  <si>
    <t>Covariance</t>
  </si>
  <si>
    <t>Standard error coefficients</t>
  </si>
  <si>
    <t>Utility</t>
  </si>
  <si>
    <t>alpha</t>
  </si>
  <si>
    <t>beta</t>
  </si>
  <si>
    <t>gamma</t>
  </si>
  <si>
    <t>Predicted mean utility detriment (uncertainty interval)</t>
  </si>
  <si>
    <t>se_u</t>
  </si>
  <si>
    <t>Sample size</t>
  </si>
  <si>
    <t>Confidence interval</t>
  </si>
  <si>
    <t>Predicted mean SF-6D utility (uncertainty interval)</t>
  </si>
  <si>
    <t>±</t>
  </si>
  <si>
    <t>Level 1</t>
  </si>
  <si>
    <t>Level 2</t>
  </si>
  <si>
    <t>Level 3</t>
  </si>
  <si>
    <t>Level 4</t>
  </si>
  <si>
    <t>Level5</t>
  </si>
  <si>
    <t>SD PCS</t>
  </si>
  <si>
    <t>SD MCS</t>
  </si>
  <si>
    <t>Standard deviation (PCS)</t>
  </si>
  <si>
    <t>Standard deviation (MCS)</t>
  </si>
  <si>
    <t>Standard Deviation (optional)</t>
  </si>
  <si>
    <t>SF-12 version</t>
  </si>
  <si>
    <t>Model coefficients - v1</t>
  </si>
  <si>
    <t>Model coefficients - v2</t>
  </si>
  <si>
    <t>For review only. Do not distribute.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</si>
</sst>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0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quotePrefix="1"/>
    <xf numFmtId="0" fontId="0" fillId="0" borderId="2" xfId="0" applyBorder="1" applyProtection="1">
      <protection locked="0"/>
    </xf>
    <xf numFmtId="166" fontId="0" fillId="0" borderId="10" xfId="0" applyNumberFormat="1" applyBorder="1" applyProtection="1">
      <protection locked="0"/>
    </xf>
    <xf numFmtId="166" fontId="0" fillId="0" borderId="0" xfId="0" applyNumberFormat="1" applyBorder="1" applyProtection="1">
      <protection locked="0"/>
    </xf>
    <xf numFmtId="1" fontId="0" fillId="0" borderId="21" xfId="0" applyNumberFormat="1" applyBorder="1" applyProtection="1">
      <protection locked="0"/>
    </xf>
    <xf numFmtId="9" fontId="0" fillId="0" borderId="11" xfId="1" applyNumberFormat="1" applyFont="1" applyBorder="1" applyAlignment="1" applyProtection="1">
      <alignment vertical="center"/>
      <protection locked="0"/>
    </xf>
    <xf numFmtId="165" fontId="0" fillId="5" borderId="10" xfId="0" applyNumberFormat="1" applyFill="1" applyBorder="1" applyAlignment="1" applyProtection="1">
      <alignment horizontal="center"/>
      <protection hidden="1"/>
    </xf>
    <xf numFmtId="165" fontId="0" fillId="5" borderId="11" xfId="0" applyNumberFormat="1" applyFill="1" applyBorder="1" applyAlignment="1" applyProtection="1">
      <alignment horizontal="center"/>
      <protection hidden="1"/>
    </xf>
    <xf numFmtId="164" fontId="0" fillId="5" borderId="10" xfId="1" applyNumberFormat="1" applyFont="1" applyFill="1" applyBorder="1" applyAlignment="1" applyProtection="1">
      <alignment horizontal="center"/>
      <protection hidden="1"/>
    </xf>
    <xf numFmtId="164" fontId="0" fillId="5" borderId="0" xfId="1" applyNumberFormat="1" applyFont="1" applyFill="1" applyBorder="1" applyAlignment="1" applyProtection="1">
      <alignment horizontal="center"/>
      <protection hidden="1"/>
    </xf>
    <xf numFmtId="164" fontId="0" fillId="5" borderId="0" xfId="1" quotePrefix="1" applyNumberFormat="1" applyFont="1" applyFill="1" applyBorder="1" applyAlignment="1" applyProtection="1">
      <alignment horizontal="center"/>
      <protection hidden="1"/>
    </xf>
    <xf numFmtId="164" fontId="0" fillId="5" borderId="11" xfId="1" applyNumberFormat="1" applyFont="1" applyFill="1" applyBorder="1" applyAlignment="1" applyProtection="1">
      <alignment horizontal="center"/>
      <protection hidden="1"/>
    </xf>
    <xf numFmtId="164" fontId="0" fillId="5" borderId="4" xfId="1" applyNumberFormat="1" applyFont="1" applyFill="1" applyBorder="1" applyAlignment="1" applyProtection="1">
      <alignment horizontal="center"/>
      <protection hidden="1"/>
    </xf>
    <xf numFmtId="164" fontId="0" fillId="5" borderId="4" xfId="1" quotePrefix="1" applyNumberFormat="1" applyFont="1" applyFill="1" applyBorder="1" applyAlignment="1" applyProtection="1">
      <alignment horizontal="center"/>
      <protection hidden="1"/>
    </xf>
    <xf numFmtId="165" fontId="2" fillId="5" borderId="0" xfId="0" applyNumberFormat="1" applyFont="1" applyFill="1" applyBorder="1" applyAlignment="1" applyProtection="1">
      <alignment horizontal="right"/>
      <protection hidden="1"/>
    </xf>
    <xf numFmtId="165" fontId="0" fillId="5" borderId="0" xfId="0" applyNumberFormat="1" applyFill="1" applyBorder="1" applyAlignment="1" applyProtection="1">
      <alignment horizontal="right"/>
      <protection hidden="1"/>
    </xf>
    <xf numFmtId="165" fontId="0" fillId="5" borderId="4" xfId="0" applyNumberFormat="1" applyFill="1" applyBorder="1" applyAlignment="1" applyProtection="1">
      <alignment horizontal="right"/>
      <protection hidden="1"/>
    </xf>
    <xf numFmtId="165" fontId="0" fillId="5" borderId="2" xfId="0" applyNumberFormat="1" applyFill="1" applyBorder="1" applyAlignment="1" applyProtection="1">
      <alignment horizontal="left"/>
      <protection hidden="1"/>
    </xf>
    <xf numFmtId="165" fontId="0" fillId="5" borderId="5" xfId="0" applyNumberFormat="1" applyFill="1" applyBorder="1" applyAlignment="1" applyProtection="1">
      <alignment horizontal="left"/>
      <protection hidden="1"/>
    </xf>
    <xf numFmtId="0" fontId="0" fillId="3" borderId="6" xfId="0" applyFill="1" applyBorder="1" applyAlignment="1" applyProtection="1">
      <alignment wrapText="1"/>
      <protection hidden="1"/>
    </xf>
    <xf numFmtId="0" fontId="0" fillId="3" borderId="9" xfId="0" applyFill="1" applyBorder="1" applyProtection="1">
      <protection hidden="1"/>
    </xf>
    <xf numFmtId="0" fontId="0" fillId="3" borderId="7" xfId="0" applyFill="1" applyBorder="1" applyAlignment="1" applyProtection="1">
      <alignment wrapText="1"/>
      <protection hidden="1"/>
    </xf>
    <xf numFmtId="0" fontId="0" fillId="3" borderId="8" xfId="0" applyFill="1" applyBorder="1" applyAlignment="1" applyProtection="1">
      <alignment wrapText="1"/>
      <protection hidden="1"/>
    </xf>
    <xf numFmtId="0" fontId="0" fillId="0" borderId="0" xfId="0" applyProtection="1">
      <protection hidden="1"/>
    </xf>
    <xf numFmtId="0" fontId="0" fillId="3" borderId="1" xfId="0" applyFill="1" applyBorder="1" applyProtection="1">
      <protection hidden="1"/>
    </xf>
    <xf numFmtId="0" fontId="0" fillId="2" borderId="19" xfId="0" applyFill="1" applyBorder="1" applyProtection="1">
      <protection hidden="1"/>
    </xf>
    <xf numFmtId="0" fontId="0" fillId="3" borderId="20" xfId="0" applyFill="1" applyBorder="1" applyProtection="1">
      <protection hidden="1"/>
    </xf>
    <xf numFmtId="166" fontId="0" fillId="2" borderId="21" xfId="0" applyNumberFormat="1" applyFill="1" applyBorder="1" applyProtection="1">
      <protection hidden="1"/>
    </xf>
    <xf numFmtId="0" fontId="0" fillId="2" borderId="2" xfId="0" applyFill="1" applyBorder="1" applyProtection="1">
      <protection hidden="1"/>
    </xf>
    <xf numFmtId="0" fontId="0" fillId="3" borderId="3" xfId="0" applyFill="1" applyBorder="1" applyAlignment="1" applyProtection="1">
      <alignment wrapText="1"/>
      <protection hidden="1"/>
    </xf>
    <xf numFmtId="166" fontId="0" fillId="2" borderId="11" xfId="0" applyNumberFormat="1" applyFill="1" applyBorder="1" applyProtection="1">
      <protection hidden="1"/>
    </xf>
    <xf numFmtId="0" fontId="0" fillId="2" borderId="5" xfId="0" applyFill="1" applyBorder="1" applyProtection="1">
      <protection hidden="1"/>
    </xf>
    <xf numFmtId="0" fontId="0" fillId="4" borderId="12" xfId="0" applyFill="1" applyBorder="1" applyProtection="1">
      <protection hidden="1"/>
    </xf>
    <xf numFmtId="0" fontId="0" fillId="4" borderId="14" xfId="0" applyFill="1" applyBorder="1" applyAlignment="1" applyProtection="1">
      <alignment horizontal="center"/>
      <protection hidden="1"/>
    </xf>
    <xf numFmtId="0" fontId="0" fillId="4" borderId="13" xfId="0" applyFill="1" applyBorder="1" applyAlignment="1" applyProtection="1">
      <alignment horizontal="center"/>
      <protection hidden="1"/>
    </xf>
    <xf numFmtId="0" fontId="0" fillId="4" borderId="1" xfId="0" applyFill="1" applyBorder="1" applyProtection="1">
      <protection hidden="1"/>
    </xf>
    <xf numFmtId="0" fontId="0" fillId="4" borderId="3" xfId="0" applyFill="1" applyBorder="1" applyProtection="1">
      <protection hidden="1"/>
    </xf>
    <xf numFmtId="164" fontId="0" fillId="5" borderId="0" xfId="1" applyNumberFormat="1" applyFont="1" applyFill="1" applyBorder="1" applyAlignment="1" applyProtection="1">
      <alignment horizontal="center"/>
      <protection hidden="1"/>
    </xf>
    <xf numFmtId="1" fontId="0" fillId="0" borderId="10" xfId="0" applyNumberFormat="1" applyBorder="1" applyProtection="1">
      <protection locked="0"/>
    </xf>
    <xf numFmtId="166" fontId="0" fillId="2" borderId="10" xfId="0" applyNumberFormat="1" applyFill="1" applyBorder="1" applyProtection="1">
      <protection hidden="1"/>
    </xf>
    <xf numFmtId="0" fontId="0" fillId="0" borderId="0" xfId="0" applyNumberFormat="1"/>
    <xf numFmtId="164" fontId="0" fillId="5" borderId="4" xfId="1" quotePrefix="1" applyNumberFormat="1" applyFont="1" applyFill="1" applyBorder="1" applyAlignment="1" applyProtection="1">
      <alignment horizontal="center"/>
      <protection hidden="1"/>
    </xf>
    <xf numFmtId="165" fontId="0" fillId="5" borderId="22" xfId="0" applyNumberFormat="1" applyFill="1" applyBorder="1" applyAlignment="1" applyProtection="1">
      <alignment horizontal="right" vertical="center"/>
      <protection hidden="1"/>
    </xf>
    <xf numFmtId="165" fontId="0" fillId="5" borderId="4" xfId="0" applyNumberFormat="1" applyFill="1" applyBorder="1" applyAlignment="1" applyProtection="1">
      <alignment horizontal="right" vertical="center"/>
      <protection hidden="1"/>
    </xf>
    <xf numFmtId="0" fontId="0" fillId="4" borderId="6" xfId="0" applyFill="1" applyBorder="1" applyAlignment="1" applyProtection="1">
      <protection hidden="1"/>
    </xf>
    <xf numFmtId="0" fontId="0" fillId="4" borderId="7" xfId="0" applyFill="1" applyBorder="1" applyAlignment="1" applyProtection="1">
      <protection hidden="1"/>
    </xf>
    <xf numFmtId="0" fontId="0" fillId="4" borderId="15" xfId="0" applyFill="1" applyBorder="1" applyAlignment="1" applyProtection="1">
      <alignment wrapText="1"/>
      <protection hidden="1"/>
    </xf>
    <xf numFmtId="0" fontId="0" fillId="4" borderId="22" xfId="0" applyFill="1" applyBorder="1" applyAlignment="1" applyProtection="1">
      <alignment wrapText="1"/>
      <protection hidden="1"/>
    </xf>
    <xf numFmtId="0" fontId="0" fillId="4" borderId="16" xfId="0" applyFill="1" applyBorder="1" applyAlignment="1" applyProtection="1">
      <alignment wrapText="1"/>
      <protection hidden="1"/>
    </xf>
    <xf numFmtId="0" fontId="0" fillId="4" borderId="17" xfId="0" applyFill="1" applyBorder="1" applyAlignment="1" applyProtection="1">
      <alignment wrapText="1"/>
      <protection hidden="1"/>
    </xf>
    <xf numFmtId="0" fontId="0" fillId="4" borderId="24" xfId="0" applyFill="1" applyBorder="1" applyAlignment="1" applyProtection="1">
      <alignment wrapText="1"/>
      <protection hidden="1"/>
    </xf>
    <xf numFmtId="0" fontId="0" fillId="4" borderId="18" xfId="0" applyFill="1" applyBorder="1" applyAlignment="1" applyProtection="1">
      <alignment wrapText="1"/>
      <protection hidden="1"/>
    </xf>
    <xf numFmtId="0" fontId="0" fillId="4" borderId="23" xfId="0" applyFill="1" applyBorder="1" applyAlignment="1" applyProtection="1">
      <alignment wrapText="1"/>
      <protection hidden="1"/>
    </xf>
    <xf numFmtId="0" fontId="0" fillId="4" borderId="3" xfId="0" applyFill="1" applyBorder="1" applyAlignment="1" applyProtection="1">
      <alignment wrapText="1"/>
      <protection hidden="1"/>
    </xf>
    <xf numFmtId="0" fontId="0" fillId="4" borderId="4" xfId="0" applyFill="1" applyBorder="1" applyAlignment="1" applyProtection="1">
      <alignment wrapText="1"/>
      <protection hidden="1"/>
    </xf>
    <xf numFmtId="165" fontId="0" fillId="5" borderId="15" xfId="0" applyNumberFormat="1" applyFill="1" applyBorder="1" applyAlignment="1" applyProtection="1">
      <alignment horizontal="center" vertical="center"/>
      <protection hidden="1"/>
    </xf>
    <xf numFmtId="165" fontId="0" fillId="5" borderId="11" xfId="0" applyNumberFormat="1" applyFill="1" applyBorder="1" applyAlignment="1" applyProtection="1">
      <alignment horizontal="center" vertical="center"/>
      <protection hidden="1"/>
    </xf>
    <xf numFmtId="165" fontId="0" fillId="5" borderId="16" xfId="0" applyNumberFormat="1" applyFill="1" applyBorder="1" applyAlignment="1" applyProtection="1">
      <alignment horizontal="left" vertical="center"/>
      <protection hidden="1"/>
    </xf>
    <xf numFmtId="165" fontId="0" fillId="5" borderId="5" xfId="0" applyNumberFormat="1" applyFill="1" applyBorder="1" applyAlignment="1" applyProtection="1">
      <alignment horizontal="left" vertical="center"/>
      <protection hidden="1"/>
    </xf>
    <xf numFmtId="0" fontId="0" fillId="4" borderId="13" xfId="0" applyFill="1" applyBorder="1" applyAlignment="1" applyProtection="1">
      <alignment horizontal="center"/>
      <protection hidden="1"/>
    </xf>
    <xf numFmtId="164" fontId="0" fillId="5" borderId="25" xfId="1" quotePrefix="1" applyNumberFormat="1" applyFont="1" applyFill="1" applyBorder="1" applyAlignment="1" applyProtection="1">
      <alignment horizontal="center"/>
      <protection hidden="1"/>
    </xf>
    <xf numFmtId="164" fontId="0" fillId="5" borderId="0" xfId="1" quotePrefix="1" applyNumberFormat="1" applyFont="1" applyFill="1" applyBorder="1" applyAlignment="1" applyProtection="1">
      <alignment horizontal="center"/>
      <protection hidden="1"/>
    </xf>
    <xf numFmtId="164" fontId="0" fillId="5" borderId="0" xfId="1" applyNumberFormat="1" applyFont="1" applyFill="1" applyBorder="1" applyAlignment="1" applyProtection="1">
      <alignment horizontal="center"/>
      <protection hidden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K26" sqref="K26"/>
    </sheetView>
  </sheetViews>
  <sheetFormatPr defaultRowHeight="15" x14ac:dyDescent="0.25"/>
  <cols>
    <col min="1" max="1" width="12.7109375" style="24" bestFit="1" customWidth="1"/>
    <col min="2" max="4" width="11" style="24" customWidth="1"/>
    <col min="5" max="5" width="2" style="24" customWidth="1"/>
    <col min="6" max="6" width="9" style="24" customWidth="1"/>
    <col min="7" max="7" width="11" style="24" customWidth="1"/>
    <col min="8" max="8" width="9.140625" style="24" customWidth="1"/>
    <col min="9" max="9" width="2" style="24" customWidth="1"/>
    <col min="10" max="10" width="8.42578125" style="24" customWidth="1"/>
    <col min="11" max="12" width="10.7109375" style="24" customWidth="1"/>
    <col min="13" max="13" width="12.7109375" style="24" customWidth="1"/>
    <col min="14" max="14" width="12" style="24" customWidth="1"/>
    <col min="15" max="15" width="9.140625" style="24" customWidth="1"/>
    <col min="16" max="16384" width="9.140625" style="24"/>
  </cols>
  <sheetData>
    <row r="1" spans="1:15" ht="45" x14ac:dyDescent="0.25">
      <c r="A1" s="20" t="s">
        <v>0</v>
      </c>
      <c r="B1" s="21" t="s">
        <v>3</v>
      </c>
      <c r="C1" s="22" t="s">
        <v>46</v>
      </c>
      <c r="D1" s="23" t="s">
        <v>4</v>
      </c>
      <c r="L1" s="24" t="s">
        <v>22</v>
      </c>
    </row>
    <row r="2" spans="1:15" x14ac:dyDescent="0.25">
      <c r="A2" s="25" t="s">
        <v>1</v>
      </c>
      <c r="B2" s="3">
        <v>44.3</v>
      </c>
      <c r="C2" s="4"/>
      <c r="D2" s="2"/>
      <c r="L2" s="24" t="s">
        <v>42</v>
      </c>
      <c r="M2" s="24">
        <f>IF(ISNUMBER($C2), $C2, IF($B$4=2,Parameters!$B9,Parameters!$L9))</f>
        <v>9.7533740000000009</v>
      </c>
    </row>
    <row r="3" spans="1:15" x14ac:dyDescent="0.25">
      <c r="A3" s="25" t="s">
        <v>2</v>
      </c>
      <c r="B3" s="3">
        <v>53.5</v>
      </c>
      <c r="C3" s="4"/>
      <c r="D3" s="26"/>
      <c r="L3" s="24" t="s">
        <v>43</v>
      </c>
      <c r="M3" s="24">
        <f>IF(ISNUMBER($C3), $C3, IF($B$4=2,Parameters!$B10,Parameters!$L10))</f>
        <v>9.1836380000000002</v>
      </c>
    </row>
    <row r="4" spans="1:15" x14ac:dyDescent="0.25">
      <c r="A4" s="25" t="s">
        <v>47</v>
      </c>
      <c r="B4" s="39">
        <v>2</v>
      </c>
      <c r="C4" s="28"/>
      <c r="D4" s="29"/>
    </row>
    <row r="5" spans="1:15" x14ac:dyDescent="0.25">
      <c r="A5" s="27" t="s">
        <v>33</v>
      </c>
      <c r="B5" s="5">
        <v>100</v>
      </c>
      <c r="C5" s="40"/>
      <c r="D5" s="29"/>
      <c r="L5" s="24" t="s">
        <v>25</v>
      </c>
      <c r="M5" s="24">
        <f>$M$2*$M$3*IF(ISNUMBER($D$2), $D$2, IF($B$4=2,Parameters!$B$11,Parameters!$L$11))</f>
        <v>-3.3276010910642988</v>
      </c>
    </row>
    <row r="6" spans="1:15" ht="30.75" thickBot="1" x14ac:dyDescent="0.3">
      <c r="A6" s="30" t="s">
        <v>34</v>
      </c>
      <c r="B6" s="6">
        <v>0.95</v>
      </c>
      <c r="C6" s="31"/>
      <c r="D6" s="32"/>
      <c r="L6" s="24" t="s">
        <v>21</v>
      </c>
      <c r="M6" s="24" t="s">
        <v>23</v>
      </c>
      <c r="N6" s="24" t="s">
        <v>24</v>
      </c>
      <c r="O6" s="24" t="s">
        <v>32</v>
      </c>
    </row>
    <row r="7" spans="1:15" ht="15.75" thickBot="1" x14ac:dyDescent="0.3">
      <c r="L7" s="24" t="s">
        <v>5</v>
      </c>
      <c r="M7" s="24">
        <f>SUMPRODUCT(IF($B$4=2,Parameters!$B$2:$B$3,Parameters!$L$2:$L$3),Calculator!$B$2:$B$3)</f>
        <v>-8.8757109740000004</v>
      </c>
      <c r="N7" s="24">
        <f t="array" ref="N7">SQRT(1+SUMSQ(IF($B$4=2,Parameters!$B$2:$B$3,Parameters!$L$2:$L$3)*Calculator!$M$2:$M$3)+2*PRODUCT(IF($B$4=2,Parameters!$B$2:$B$3,Parameters!$L$2:$L$3))*Calculator!$M$5)</f>
        <v>1.9061687263195133</v>
      </c>
      <c r="O7" s="24">
        <f>IF($B$4=2,Parameters!$B$14,Parameters!$L$14)+IF($B$4=2,Parameters!$B$15,Parameters!$L$15)*Calculator!$B$5^-IF($B$4=2,Parameters!$B$16,Parameters!$L$16)</f>
        <v>9.968923952523225E-4</v>
      </c>
    </row>
    <row r="8" spans="1:15" ht="30" customHeight="1" x14ac:dyDescent="0.25">
      <c r="A8" s="45" t="s">
        <v>20</v>
      </c>
      <c r="B8" s="46"/>
      <c r="C8" s="46"/>
      <c r="D8" s="46"/>
      <c r="E8" s="46"/>
      <c r="F8" s="46"/>
      <c r="G8" s="46"/>
      <c r="H8" s="47" t="s">
        <v>31</v>
      </c>
      <c r="I8" s="48"/>
      <c r="J8" s="49"/>
      <c r="L8" s="24" t="s">
        <v>6</v>
      </c>
      <c r="M8" s="24">
        <f>SUMPRODUCT(IF($B$4=2,Parameters!$C$2:$C$3,Parameters!$M$2:$M$3),Calculator!$B$2:$B$3)</f>
        <v>-12.322102660000001</v>
      </c>
      <c r="N8" s="24">
        <f t="array" ref="N8">SQRT(1+SUMSQ(IF($B$4=2,Parameters!$C$2:$C$3,Parameters!$M$2:$M$3)*Calculator!$M$2:$M$3)+2*PRODUCT(IF($B$4=2,Parameters!$C$2:$C$3,Parameters!$M$2:$M$3))*Calculator!$M$5)</f>
        <v>1.996475584950711</v>
      </c>
      <c r="O8" s="24">
        <f>IF($B$4=2,Parameters!$C$14,Parameters!$M$14)+IF($B$4=2,Parameters!$C$15,Parameters!$M$15)*Calculator!$B$5^-IF($B$4=2,Parameters!$C$16,Parameters!$M$16)</f>
        <v>2.1922742595096964E-3</v>
      </c>
    </row>
    <row r="9" spans="1:15" x14ac:dyDescent="0.25">
      <c r="A9" s="33" t="s">
        <v>21</v>
      </c>
      <c r="B9" s="34" t="s">
        <v>37</v>
      </c>
      <c r="C9" s="35" t="s">
        <v>38</v>
      </c>
      <c r="D9" s="35" t="s">
        <v>39</v>
      </c>
      <c r="E9" s="60" t="s">
        <v>40</v>
      </c>
      <c r="F9" s="60"/>
      <c r="G9" s="35" t="s">
        <v>41</v>
      </c>
      <c r="H9" s="50"/>
      <c r="I9" s="51"/>
      <c r="J9" s="52"/>
      <c r="L9" s="24" t="s">
        <v>7</v>
      </c>
      <c r="M9" s="24">
        <f>SUMPRODUCT(IF($B$4=2,Parameters!$D$2:$D$3,Parameters!$N$2:$N$3),Calculator!$B$2:$B$3)</f>
        <v>-11.4757836</v>
      </c>
      <c r="N9" s="24">
        <f t="array" ref="N9">SQRT(1+SUMSQ(IF($B$4=2,Parameters!$D$2:$D$3,Parameters!$N$2:$N$3)*Calculator!$M$2:$M$3)+2*PRODUCT(IF($B$4=2,Parameters!$D$2:$D$3,Parameters!$N$2:$N$3))*Calculator!$M$5)</f>
        <v>1.828929498085452</v>
      </c>
      <c r="O9" s="24">
        <f>IF($B$4=2,Parameters!$D$14,Parameters!$N$14)+IF($B$4=2,Parameters!$D$15,Parameters!$N$15)*Calculator!$B$5^-IF($B$4=2,Parameters!$D$16,Parameters!$N$16)</f>
        <v>2.1511191199802184E-3</v>
      </c>
    </row>
    <row r="10" spans="1:15" x14ac:dyDescent="0.25">
      <c r="A10" s="36" t="s">
        <v>5</v>
      </c>
      <c r="B10" s="9">
        <f>1-_xlfn.NORM.DIST((M7-IF($B$4=2,Parameters!B4,Parameters!L4))/Calculator!N7, 0, 1, TRUE)</f>
        <v>0.55418406032016576</v>
      </c>
      <c r="C10" s="10">
        <f>_xlfn.NORM.DIST((M7-IF($B$4=2,Parameters!B4,Parameters!L4))/Calculator!N7, 0, 1, TRUE)-D10</f>
        <v>0.37303979665550036</v>
      </c>
      <c r="D10" s="10">
        <f>_xlfn.NORM.DIST((M7-IF($B$4=2,Parameters!B5,Parameters!L5))/Calculator!N7, 0, 1, TRUE)</f>
        <v>7.2776143024333967E-2</v>
      </c>
      <c r="E10" s="61" t="s">
        <v>19</v>
      </c>
      <c r="F10" s="61"/>
      <c r="G10" s="11" t="s">
        <v>19</v>
      </c>
      <c r="H10" s="7">
        <f>-0.045*D10</f>
        <v>-3.2749264360950282E-3</v>
      </c>
      <c r="I10" s="15" t="s">
        <v>36</v>
      </c>
      <c r="J10" s="18">
        <f t="shared" ref="J10:J16" si="0">O7*_xlfn.NORM.INV(1-(1-$B$6)/2, 0, 1)</f>
        <v>1.9538731911564202E-3</v>
      </c>
      <c r="L10" s="24" t="s">
        <v>8</v>
      </c>
      <c r="M10" s="24">
        <f>SUMPRODUCT(IF($B$4=2,Parameters!$E$2:$E$3,Parameters!$O$2:$O$3),Calculator!$B$2:$B$3)</f>
        <v>-10.047281087999998</v>
      </c>
      <c r="N10" s="24">
        <f t="array" ref="N10">SQRT(1+SUMSQ(IF($B$4=2,Parameters!$E$2:$E$3,Parameters!$O$2:$O$3)*Calculator!$M$2:$M$3)+2*PRODUCT(IF($B$4=2,Parameters!$E$2:$E$3,Parameters!$O$2:$O$3))*Calculator!$M$5)</f>
        <v>1.9281391023645371</v>
      </c>
      <c r="O10" s="24">
        <f>IF($B$4=2,Parameters!$E$14,Parameters!$O$14)+IF($B$4=2,Parameters!$E$15,Parameters!$O$15)*Calculator!$B$5^-IF($B$4=2,Parameters!$E$16,Parameters!$O$16)</f>
        <v>1.9580356961145561E-3</v>
      </c>
    </row>
    <row r="11" spans="1:15" x14ac:dyDescent="0.25">
      <c r="A11" s="36" t="s">
        <v>6</v>
      </c>
      <c r="B11" s="9">
        <f>1-_xlfn.NORM.DIST((M8-IF($B$4=2,Parameters!C4,Parameters!M4))/Calculator!N8, 0, 1, TRUE)</f>
        <v>0.26194910903217883</v>
      </c>
      <c r="C11" s="10">
        <f>_xlfn.NORM.DIST((M8-IF($B$4=2,Parameters!C4,Parameters!M4))/Calculator!N8, 0, 1, TRUE)</f>
        <v>0.73805089096782117</v>
      </c>
      <c r="D11" s="11" t="s">
        <v>19</v>
      </c>
      <c r="E11" s="62" t="s">
        <v>19</v>
      </c>
      <c r="F11" s="62"/>
      <c r="G11" s="11" t="s">
        <v>19</v>
      </c>
      <c r="H11" s="7">
        <f>-0.063*C11</f>
        <v>-4.6497206130972732E-2</v>
      </c>
      <c r="I11" s="16" t="s">
        <v>36</v>
      </c>
      <c r="J11" s="18">
        <f t="shared" si="0"/>
        <v>4.2967785928732204E-3</v>
      </c>
      <c r="L11" s="24" t="s">
        <v>9</v>
      </c>
      <c r="M11" s="24">
        <f>SUMPRODUCT(IF($B$4=2,Parameters!$F$2:$F$3,Parameters!$P$2:$P$3),Calculator!$B$2:$B$3)</f>
        <v>-8.8214528330000004</v>
      </c>
      <c r="N11" s="24">
        <f t="array" ref="N11">SQRT(1+SUMSQ(IF($B$4=2,Parameters!$F$2:$F$3,Parameters!$P$2:$P$3)*Calculator!$M$2:$M$3)+2*PRODUCT(IF($B$4=2,Parameters!$F$2:$F$3,Parameters!$P$2:$P$3))*Calculator!$M$5)</f>
        <v>1.7184953196846953</v>
      </c>
      <c r="O11" s="24">
        <f>IF($B$4=2,Parameters!$F$14,Parameters!$P$14)+IF($B$4=2,Parameters!$F$15,Parameters!$P$15)*Calculator!$B$5^-IF($B$4=2,Parameters!$F$16,Parameters!$P$16)</f>
        <v>2.3919728619209253E-3</v>
      </c>
    </row>
    <row r="12" spans="1:15" x14ac:dyDescent="0.25">
      <c r="A12" s="36" t="s">
        <v>7</v>
      </c>
      <c r="B12" s="9">
        <f>1-_xlfn.NORM.DIST((M9-IF($B$4=2,Parameters!D4,Parameters!N4))/Calculator!N9,0,1,TRUE)</f>
        <v>0.61337635267570434</v>
      </c>
      <c r="C12" s="38">
        <f>_xlfn.NORM.DIST((M9-IF($B$4=2,Parameters!D4,Parameters!N4))/Calculator!N9, 0, 1, TRUE)-(D12+E12+G12)</f>
        <v>0.23056833310992161</v>
      </c>
      <c r="D12" s="10">
        <f>_xlfn.NORM.DIST((M9-IF($B$4=2,Parameters!D5,Parameters!N5))/Calculator!N9, 0, 1, TRUE)-(E12+G12)</f>
        <v>0.12894846687653694</v>
      </c>
      <c r="E12" s="63">
        <f>_xlfn.NORM.DIST((M9-IF($B$4=2,Parameters!D6,Parameters!N6))/Calculator!N9, 0, 1, TRUE)-G12</f>
        <v>2.5126160266221408E-2</v>
      </c>
      <c r="F12" s="63"/>
      <c r="G12" s="10">
        <f>_xlfn.NORM.DIST((M9-IF($B$4=2,Parameters!D7,Parameters!N7))/Calculator!N9, 0, 1, TRUE)</f>
        <v>1.9806870716156978E-3</v>
      </c>
      <c r="H12" s="7">
        <f>-(0.063*C12+0.066*D12+0.081*E12+0.093*G12)</f>
        <v>-2.5255826679000691E-2</v>
      </c>
      <c r="I12" s="16" t="s">
        <v>36</v>
      </c>
      <c r="J12" s="18">
        <f t="shared" si="0"/>
        <v>4.2161160016167222E-3</v>
      </c>
      <c r="L12" s="24" t="s">
        <v>10</v>
      </c>
      <c r="M12" s="24">
        <f>SUMPRODUCT(IF($B$4=2,Parameters!$G$2:$G$3,Parameters!$Q$2:$Q$3),Calculator!$B$2:$B$3)</f>
        <v>-8.6520911510000005</v>
      </c>
      <c r="N12" s="24">
        <f t="array" ref="N12">SQRT(1+SUMSQ(IF($B$4=2,Parameters!$G$2:$G$3,Parameters!$Q$2:$Q$3)*Calculator!$M$2:$M$3)+2*PRODUCT(IF($B$4=2,Parameters!$G$2:$G$3,Parameters!$Q$2:$Q$3))*Calculator!$M$5)</f>
        <v>1.5239318771883403</v>
      </c>
      <c r="O12" s="24">
        <f>IF($B$4=2,Parameters!$G$14,Parameters!$Q$14)+IF($B$4=2,Parameters!$G$15,Parameters!$Q$15)*Calculator!$B$5^-IF($B$4=2,Parameters!$G$16,Parameters!$Q$16)</f>
        <v>1.5391451461518693E-3</v>
      </c>
    </row>
    <row r="13" spans="1:15" x14ac:dyDescent="0.25">
      <c r="A13" s="36" t="s">
        <v>8</v>
      </c>
      <c r="B13" s="9">
        <f>1-_xlfn.NORM.DIST((M10-IF($B$4=2,Parameters!E4,Parameters!O4))/Calculator!N10,0,1,TRUE)</f>
        <v>0.21052886362965151</v>
      </c>
      <c r="C13" s="10">
        <f>_xlfn.NORM.DIST((M10-IF($B$4=2,Parameters!E4,Parameters!O4))/Calculator!N10, 0, 1, TRUE)-(D13+E13+G13)</f>
        <v>0.40175749827144142</v>
      </c>
      <c r="D13" s="10">
        <f>_xlfn.NORM.DIST((M10-IF($B$4=2,Parameters!E5,Parameters!O5))/Calculator!N10, 0, 1, TRUE)-(E13+G13)</f>
        <v>0.25801758744137893</v>
      </c>
      <c r="E13" s="63">
        <f>_xlfn.NORM.DIST((M10-IF($B$4=2,Parameters!E6,Parameters!O6))/Calculator!N10, 0, 1, TRUE)-G13</f>
        <v>0.1192779643268035</v>
      </c>
      <c r="F13" s="63"/>
      <c r="G13" s="10">
        <f>_xlfn.NORM.DIST((M10-IF($B$4=2,Parameters!E7,Parameters!O7))/Calculator!N10, 0, 1, TRUE)</f>
        <v>1.0418086330724672E-2</v>
      </c>
      <c r="H13" s="7">
        <f>-(0.042*D13+0.077*E13+0.137*G13)</f>
        <v>-2.1448419753011067E-2</v>
      </c>
      <c r="I13" s="16" t="s">
        <v>36</v>
      </c>
      <c r="J13" s="18">
        <f t="shared" si="0"/>
        <v>3.8376794448283431E-3</v>
      </c>
      <c r="L13" s="24" t="s">
        <v>11</v>
      </c>
      <c r="M13" s="24">
        <f>SUMPRODUCT(IF($B$4=2,Parameters!$H$2:$H$3,Parameters!$I$2:$I$3),Calculator!$B$2:$B$3)</f>
        <v>-13.132840313999999</v>
      </c>
      <c r="N13" s="24">
        <f t="array" ref="N13">SQRT(1+SUMSQ(IF($B$4=2,Parameters!$H$2:$H$3,Parameters!$R$2:$R$3)*Calculator!$M$2:$M$3)+2*PRODUCT(IF($B$4=2,Parameters!$H$2:$H$3,Parameters!$R$2:$R$3))*Calculator!$M$5)</f>
        <v>2.0250153326659492</v>
      </c>
      <c r="O13" s="24">
        <f>IF($B$4=2,Parameters!$H$14,Parameters!$R$14)+IF($B$4=2,Parameters!$H$15,Parameters!$R$15)*Calculator!$B$5^-IF($B$4=2,Parameters!$H$16,Parameters!$R$16)</f>
        <v>2.8249861071802562E-3</v>
      </c>
    </row>
    <row r="14" spans="1:15" x14ac:dyDescent="0.25">
      <c r="A14" s="36" t="s">
        <v>9</v>
      </c>
      <c r="B14" s="9">
        <f>1-_xlfn.NORM.DIST((M11-IF($B$4=2,Parameters!F4,Parameters!P4))/Calculator!N11,0,1,TRUE)</f>
        <v>0.43711107572612529</v>
      </c>
      <c r="C14" s="10">
        <f>_xlfn.NORM.DIST((M11-IF($B$4=2,Parameters!F4,Parameters!P4))/Calculator!N11, 0, 1, TRUE)-(D14+E14+G14)</f>
        <v>0.37460658205304254</v>
      </c>
      <c r="D14" s="10">
        <f>_xlfn.NORM.DIST((M11-IF($B$4=2,Parameters!F5,Parameters!P5))/Calculator!N11, 0, 1, TRUE)-(E14+G14)</f>
        <v>0.16325782115864346</v>
      </c>
      <c r="E14" s="63">
        <f>_xlfn.NORM.DIST((M11-IF($B$4=2,Parameters!F6,Parameters!P6))/Calculator!N11, 0, 1, TRUE)-G14</f>
        <v>2.1561773300924722E-2</v>
      </c>
      <c r="F14" s="63"/>
      <c r="G14" s="10">
        <f>_xlfn.NORM.DIST((M11-IF($B$4=2,Parameters!F7,Parameters!P7))/Calculator!N11, 0, 1, TRUE)</f>
        <v>3.462747761263978E-3</v>
      </c>
      <c r="H14" s="7">
        <f>-(0.059*(C14+D14)+0.113*E14+0.134*G14)</f>
        <v>-3.4634488372503332E-2</v>
      </c>
      <c r="I14" s="16" t="s">
        <v>36</v>
      </c>
      <c r="J14" s="18">
        <f t="shared" si="0"/>
        <v>4.6881806613622125E-3</v>
      </c>
      <c r="L14" s="24" t="s">
        <v>27</v>
      </c>
      <c r="O14" s="24">
        <f>IF($B$4=2,Parameters!$I$14,Parameters!$S$14)+IF($B$4=2,Parameters!$I$15,Parameters!$S$15)*Calculator!$B$5^-IF($B$4=2,Parameters!$I$16,Parameters!$S$16)</f>
        <v>5.6999125492281895E-3</v>
      </c>
    </row>
    <row r="15" spans="1:15" x14ac:dyDescent="0.25">
      <c r="A15" s="36" t="s">
        <v>10</v>
      </c>
      <c r="B15" s="9">
        <f>1-_xlfn.NORM.DIST((M12-IF($B$4=2,Parameters!G4,Parameters!Q4))/Calculator!N12,0,1,TRUE)</f>
        <v>5.3083614383655942E-2</v>
      </c>
      <c r="C15" s="10">
        <f>_xlfn.NORM.DIST((M12-IF($B$4=2,Parameters!G4,Parameters!Q4))/Calculator!N12, 0, 1, TRUE)-(D15+E15+G15)</f>
        <v>0.4093635691452564</v>
      </c>
      <c r="D15" s="10">
        <f>_xlfn.NORM.DIST((M12-IF($B$4=2,Parameters!G5,Parameters!Q5))/Calculator!N12, 0, 1, TRUE)-(E15+G15)</f>
        <v>0.37115023361890548</v>
      </c>
      <c r="E15" s="63">
        <f>_xlfn.NORM.DIST((M12-IF($B$4=2,Parameters!G6,Parameters!Q6))/Calculator!N12, 0, 1, TRUE)-G15</f>
        <v>0.13811056033501781</v>
      </c>
      <c r="F15" s="63"/>
      <c r="G15" s="10">
        <f>_xlfn.NORM.DIST((M12-IF($B$4=2,Parameters!G7,Parameters!Q7))/Calculator!N12, 0, 1, TRUE)</f>
        <v>2.8292022517164363E-2</v>
      </c>
      <c r="H15" s="7">
        <f>-(0.078*(C15+D15+E15)+0.106*G15)</f>
        <v>-7.4651654708555434E-2</v>
      </c>
      <c r="I15" s="16" t="s">
        <v>36</v>
      </c>
      <c r="J15" s="18">
        <f t="shared" si="0"/>
        <v>3.0166690534373006E-3</v>
      </c>
    </row>
    <row r="16" spans="1:15" ht="15.75" thickBot="1" x14ac:dyDescent="0.3">
      <c r="A16" s="37" t="s">
        <v>11</v>
      </c>
      <c r="B16" s="12">
        <f>1-_xlfn.NORM.DIST((M13-IF($B$4=2,Parameters!H4,Parameters!R4))/Calculator!N13,0,1,TRUE)</f>
        <v>0.47770603451539961</v>
      </c>
      <c r="C16" s="13">
        <f>_xlfn.NORM.DIST((M13-IF($B$4=2,Parameters!H4,Parameters!R4))/Calculator!N13,0,1,TRUE)</f>
        <v>0.52229396548460039</v>
      </c>
      <c r="D16" s="14" t="s">
        <v>19</v>
      </c>
      <c r="E16" s="42" t="s">
        <v>19</v>
      </c>
      <c r="F16" s="42"/>
      <c r="G16" s="14" t="s">
        <v>19</v>
      </c>
      <c r="H16" s="8">
        <f>-0.077*C16</f>
        <v>-4.0216635342314226E-2</v>
      </c>
      <c r="I16" s="17" t="s">
        <v>36</v>
      </c>
      <c r="J16" s="19">
        <f t="shared" si="0"/>
        <v>5.5368710268993097E-3</v>
      </c>
    </row>
    <row r="17" spans="1:6" ht="15.75" thickBot="1" x14ac:dyDescent="0.3"/>
    <row r="18" spans="1:6" x14ac:dyDescent="0.25">
      <c r="A18" s="53" t="s">
        <v>35</v>
      </c>
      <c r="B18" s="48"/>
      <c r="C18" s="48"/>
      <c r="D18" s="56">
        <f>1+SUM(H10:H16)</f>
        <v>0.75402084257754742</v>
      </c>
      <c r="E18" s="43" t="s">
        <v>36</v>
      </c>
      <c r="F18" s="58">
        <f>O14*_xlfn.NORM.INV(1-(1-$B$6)/2, 0, 1)</f>
        <v>1.1171623311515137E-2</v>
      </c>
    </row>
    <row r="19" spans="1:6" ht="15.75" thickBot="1" x14ac:dyDescent="0.3">
      <c r="A19" s="54"/>
      <c r="B19" s="55"/>
      <c r="C19" s="55"/>
      <c r="D19" s="57"/>
      <c r="E19" s="44"/>
      <c r="F19" s="59"/>
    </row>
    <row r="21" spans="1:6" x14ac:dyDescent="0.25">
      <c r="A21" s="24" t="s">
        <v>50</v>
      </c>
    </row>
  </sheetData>
  <dataConsolidate/>
  <mergeCells count="14">
    <mergeCell ref="E16:F16"/>
    <mergeCell ref="E18:E19"/>
    <mergeCell ref="A8:G8"/>
    <mergeCell ref="H8:J9"/>
    <mergeCell ref="A18:C19"/>
    <mergeCell ref="D18:D19"/>
    <mergeCell ref="F18:F19"/>
    <mergeCell ref="E9:F9"/>
    <mergeCell ref="E10:F10"/>
    <mergeCell ref="E11:F11"/>
    <mergeCell ref="E12:F12"/>
    <mergeCell ref="E13:F13"/>
    <mergeCell ref="E14:F14"/>
    <mergeCell ref="E15:F15"/>
  </mergeCells>
  <dataValidations count="6">
    <dataValidation type="whole" allowBlank="1" showErrorMessage="1" errorTitle="SF-12 version" error="SF-12 version must be 1 or 2" promptTitle="SF-12 version" prompt="SF-12 version 1 or 2" sqref="B4">
      <formula1>1</formula1>
      <formula2>2</formula2>
    </dataValidation>
    <dataValidation type="decimal" allowBlank="1" showInputMessage="1" showErrorMessage="1" errorTitle="SF-12 PCS" error="SF-12 PCS mean value must be between 0 and 100" sqref="B2">
      <formula1>0</formula1>
      <formula2>1</formula2>
    </dataValidation>
    <dataValidation type="decimal" allowBlank="1" showInputMessage="1" showErrorMessage="1" errorTitle="SF-12 MCS" error="SF-12 MCS mean value must be between 0 and 100" sqref="B3">
      <formula1>0</formula1>
      <formula2>100</formula2>
    </dataValidation>
    <dataValidation type="decimal" operator="greaterThanOrEqual" allowBlank="1" showInputMessage="1" showErrorMessage="1" errorTitle="SF-12 PCS" error="SF-12 PCS standard deviation must be at least 0 (leave blank to use OAI sample value)" sqref="C2">
      <formula1>0</formula1>
    </dataValidation>
    <dataValidation type="decimal" operator="greaterThanOrEqual" allowBlank="1" showInputMessage="1" showErrorMessage="1" errorTitle="SF-12 MCS" error="SF-12 MCS standard deviation must be at least 0 (leave blank to use OAI sample value)" sqref="C3">
      <formula1>0</formula1>
    </dataValidation>
    <dataValidation type="decimal" allowBlank="1" showInputMessage="1" showErrorMessage="1" errorTitle="SF-12 PCS/MCS" error="Correlation between SF-12 PCS and MCS must be between -1 and 1 (perhaps you have entered the covariance?)._x000a_Leave blank to use the OAI sample value." sqref="D2">
      <formula1>-1</formula1>
      <formula2>1</formula2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B33" sqref="B33"/>
    </sheetView>
  </sheetViews>
  <sheetFormatPr defaultRowHeight="15" x14ac:dyDescent="0.25"/>
  <cols>
    <col min="1" max="1" width="25" bestFit="1" customWidth="1"/>
    <col min="2" max="2" width="12" bestFit="1" customWidth="1"/>
    <col min="3" max="3" width="12.7109375" bestFit="1" customWidth="1"/>
    <col min="11" max="11" width="25" bestFit="1" customWidth="1"/>
    <col min="12" max="12" width="12" bestFit="1" customWidth="1"/>
    <col min="13" max="13" width="12.7109375" bestFit="1" customWidth="1"/>
  </cols>
  <sheetData>
    <row r="1" spans="1:19" x14ac:dyDescent="0.25">
      <c r="A1" t="s">
        <v>49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K1" t="s">
        <v>48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</row>
    <row r="2" spans="1:19" x14ac:dyDescent="0.25">
      <c r="A2" t="s">
        <v>12</v>
      </c>
      <c r="B2">
        <v>-0.16512403</v>
      </c>
      <c r="C2">
        <v>-0.1501287</v>
      </c>
      <c r="D2">
        <v>-8.8168999999999997E-2</v>
      </c>
      <c r="E2">
        <v>-0.16350201</v>
      </c>
      <c r="F2">
        <v>-1.570121E-2</v>
      </c>
      <c r="G2">
        <v>-7.4144719999999997E-2</v>
      </c>
      <c r="H2">
        <v>-9.4857880000000006E-2</v>
      </c>
      <c r="K2" t="s">
        <v>12</v>
      </c>
      <c r="L2">
        <v>-0.17595229000000001</v>
      </c>
      <c r="M2">
        <v>-0.17195340000000001</v>
      </c>
      <c r="N2">
        <v>-8.6986709999999995E-2</v>
      </c>
      <c r="O2">
        <v>-0.1518629</v>
      </c>
      <c r="P2">
        <v>-1.390157E-2</v>
      </c>
      <c r="Q2">
        <v>-7.3106530000000003E-2</v>
      </c>
      <c r="R2">
        <v>-9.4249009999999994E-2</v>
      </c>
    </row>
    <row r="3" spans="1:19" x14ac:dyDescent="0.25">
      <c r="A3" t="s">
        <v>13</v>
      </c>
      <c r="B3">
        <v>-2.917227E-2</v>
      </c>
      <c r="C3">
        <v>-0.1060075</v>
      </c>
      <c r="D3">
        <v>-0.14149339999999999</v>
      </c>
      <c r="E3">
        <v>-5.2413870000000001E-2</v>
      </c>
      <c r="F3">
        <v>-0.15188578</v>
      </c>
      <c r="G3">
        <v>-0.10032673</v>
      </c>
      <c r="H3">
        <v>-0.16692778</v>
      </c>
      <c r="K3" t="s">
        <v>13</v>
      </c>
      <c r="L3">
        <v>-3.4565169999999999E-2</v>
      </c>
      <c r="M3">
        <v>-0.1143629</v>
      </c>
      <c r="N3">
        <v>-0.12318978</v>
      </c>
      <c r="O3">
        <v>-4.8883610000000001E-2</v>
      </c>
      <c r="P3">
        <v>-0.13136959000000001</v>
      </c>
      <c r="Q3">
        <v>-8.0757809999999999E-2</v>
      </c>
      <c r="R3">
        <v>-0.19376197000000001</v>
      </c>
    </row>
    <row r="4" spans="1:19" x14ac:dyDescent="0.25">
      <c r="A4" t="s">
        <v>14</v>
      </c>
      <c r="B4">
        <v>-8.6160153299999998</v>
      </c>
      <c r="C4">
        <v>-13.5945523</v>
      </c>
      <c r="D4">
        <v>-10.9488143</v>
      </c>
      <c r="E4">
        <v>-11.59863781</v>
      </c>
      <c r="F4">
        <v>-9.0934868400000006</v>
      </c>
      <c r="G4">
        <v>-11.11425126</v>
      </c>
      <c r="H4">
        <v>-13.246062569999999</v>
      </c>
      <c r="K4" t="s">
        <v>14</v>
      </c>
      <c r="L4">
        <v>-8.6869625599999996</v>
      </c>
      <c r="M4">
        <v>-14.5994031</v>
      </c>
      <c r="N4">
        <v>-9.4474264199999993</v>
      </c>
      <c r="O4">
        <v>-10.36579684</v>
      </c>
      <c r="P4">
        <v>-7.7254196899999998</v>
      </c>
      <c r="Q4">
        <v>-9.7259129400000006</v>
      </c>
      <c r="R4">
        <v>-14.248242790000001</v>
      </c>
    </row>
    <row r="5" spans="1:19" x14ac:dyDescent="0.25">
      <c r="A5" t="s">
        <v>15</v>
      </c>
      <c r="B5">
        <v>-6.10142981</v>
      </c>
      <c r="D5">
        <v>-9.6270957999999993</v>
      </c>
      <c r="E5">
        <v>-9.4972156299999995</v>
      </c>
      <c r="F5">
        <v>-7.3018842099999999</v>
      </c>
      <c r="G5">
        <v>-8.7957528099999998</v>
      </c>
      <c r="K5" t="s">
        <v>15</v>
      </c>
      <c r="L5">
        <v>-6.3628039100000002</v>
      </c>
      <c r="N5">
        <v>-8.1652792999999999</v>
      </c>
      <c r="O5">
        <v>-8.2227518400000008</v>
      </c>
      <c r="P5">
        <v>-5.9219716599999996</v>
      </c>
      <c r="Q5">
        <v>-7.3715761000000004</v>
      </c>
    </row>
    <row r="6" spans="1:19" x14ac:dyDescent="0.25">
      <c r="A6" t="s">
        <v>16</v>
      </c>
      <c r="B6" s="1"/>
      <c r="D6">
        <v>-7.9548652999999998</v>
      </c>
      <c r="E6">
        <v>-7.8726697000000003</v>
      </c>
      <c r="F6">
        <v>-5.45398461</v>
      </c>
      <c r="G6">
        <v>-7.1761950199999998</v>
      </c>
      <c r="K6" t="s">
        <v>16</v>
      </c>
      <c r="L6" s="1"/>
      <c r="N6">
        <v>-6.69985213</v>
      </c>
      <c r="O6">
        <v>-6.8292398499999996</v>
      </c>
      <c r="P6">
        <v>-4.2166434300000004</v>
      </c>
      <c r="Q6">
        <v>-5.8124396999999997</v>
      </c>
    </row>
    <row r="7" spans="1:19" x14ac:dyDescent="0.25">
      <c r="A7" t="s">
        <v>17</v>
      </c>
      <c r="D7">
        <v>-6.2062330000000001</v>
      </c>
      <c r="E7">
        <v>-5.5914674299999998</v>
      </c>
      <c r="F7">
        <v>-4.1808181800000002</v>
      </c>
      <c r="G7">
        <v>-5.7466995000000001</v>
      </c>
      <c r="K7" t="s">
        <v>17</v>
      </c>
      <c r="N7">
        <v>-5.3088141599999998</v>
      </c>
      <c r="O7">
        <v>-4.9962508300000001</v>
      </c>
      <c r="P7">
        <v>-3.00689056</v>
      </c>
      <c r="Q7">
        <v>-4.5427995499999998</v>
      </c>
    </row>
    <row r="9" spans="1:19" x14ac:dyDescent="0.25">
      <c r="A9" t="s">
        <v>44</v>
      </c>
      <c r="B9">
        <v>9.7533740000000009</v>
      </c>
      <c r="K9" t="s">
        <v>44</v>
      </c>
      <c r="L9">
        <v>9.6067999999999998</v>
      </c>
    </row>
    <row r="10" spans="1:19" x14ac:dyDescent="0.25">
      <c r="A10" t="s">
        <v>45</v>
      </c>
      <c r="B10">
        <v>9.1836380000000002</v>
      </c>
      <c r="K10" t="s">
        <v>45</v>
      </c>
      <c r="L10">
        <v>10.27267</v>
      </c>
    </row>
    <row r="11" spans="1:19" x14ac:dyDescent="0.25">
      <c r="A11" t="s">
        <v>18</v>
      </c>
      <c r="B11">
        <v>-3.7150240000000001E-2</v>
      </c>
      <c r="K11" t="s">
        <v>18</v>
      </c>
      <c r="L11">
        <v>-2.5848619999999998E-3</v>
      </c>
    </row>
    <row r="13" spans="1:19" x14ac:dyDescent="0.25">
      <c r="A13" t="s">
        <v>26</v>
      </c>
      <c r="B13" t="s">
        <v>5</v>
      </c>
      <c r="C13" t="s">
        <v>6</v>
      </c>
      <c r="D13" t="s">
        <v>7</v>
      </c>
      <c r="E13" t="s">
        <v>8</v>
      </c>
      <c r="F13" t="s">
        <v>9</v>
      </c>
      <c r="G13" t="s">
        <v>10</v>
      </c>
      <c r="H13" t="s">
        <v>11</v>
      </c>
      <c r="I13" t="s">
        <v>27</v>
      </c>
      <c r="K13" t="s">
        <v>26</v>
      </c>
      <c r="L13" t="s">
        <v>5</v>
      </c>
      <c r="M13" t="s">
        <v>6</v>
      </c>
      <c r="N13" t="s">
        <v>7</v>
      </c>
      <c r="O13" t="s">
        <v>8</v>
      </c>
      <c r="P13" t="s">
        <v>9</v>
      </c>
      <c r="Q13" t="s">
        <v>10</v>
      </c>
      <c r="R13" t="s">
        <v>11</v>
      </c>
      <c r="S13" t="s">
        <v>27</v>
      </c>
    </row>
    <row r="14" spans="1:19" x14ac:dyDescent="0.25">
      <c r="A14" t="s">
        <v>28</v>
      </c>
      <c r="B14" s="41">
        <v>3.4783090000000002E-5</v>
      </c>
      <c r="C14" s="41">
        <v>1.2348280000000001E-4</v>
      </c>
      <c r="D14" s="41">
        <v>1.666932E-4</v>
      </c>
      <c r="E14" s="41">
        <v>2.266334E-5</v>
      </c>
      <c r="F14" s="41">
        <v>1.2520470000000001E-4</v>
      </c>
      <c r="G14" s="41">
        <v>3.635471E-5</v>
      </c>
      <c r="H14" s="41">
        <v>6.8067830000000001E-5</v>
      </c>
      <c r="I14" s="41">
        <v>2.0219840000000001E-4</v>
      </c>
      <c r="K14" t="s">
        <v>28</v>
      </c>
      <c r="L14" s="41">
        <v>6.3547940000000005E-5</v>
      </c>
      <c r="M14" s="41">
        <v>3.6780419999999999E-5</v>
      </c>
      <c r="N14" s="41">
        <v>4.8858359999999997E-5</v>
      </c>
      <c r="O14" s="41">
        <v>4.8576740000000001E-5</v>
      </c>
      <c r="P14" s="41">
        <v>1.7265790000000001E-4</v>
      </c>
      <c r="Q14" s="41">
        <v>7.7088639999999995E-5</v>
      </c>
      <c r="R14" s="41">
        <v>6.8415519999999997E-5</v>
      </c>
      <c r="S14" s="41">
        <v>2.6551169999999998E-4</v>
      </c>
    </row>
    <row r="15" spans="1:19" x14ac:dyDescent="0.25">
      <c r="A15" t="s">
        <v>29</v>
      </c>
      <c r="B15" s="41">
        <v>1.0146270000000001E-2</v>
      </c>
      <c r="C15" s="41">
        <v>2.3666082299999999E-2</v>
      </c>
      <c r="D15" s="41">
        <v>2.27478575E-2</v>
      </c>
      <c r="E15" s="41">
        <v>1.78362E-2</v>
      </c>
      <c r="F15" s="41">
        <v>2.4328542799999998E-2</v>
      </c>
      <c r="G15" s="41">
        <v>1.380638E-2</v>
      </c>
      <c r="H15" s="41">
        <v>2.6690289999999998E-2</v>
      </c>
      <c r="I15" s="41">
        <v>5.6155674699999998E-2</v>
      </c>
      <c r="K15" t="s">
        <v>29</v>
      </c>
      <c r="L15" s="41">
        <v>1.028832E-2</v>
      </c>
      <c r="M15" s="41">
        <v>1.879227E-2</v>
      </c>
      <c r="N15" s="41">
        <v>2.0738949999999999E-2</v>
      </c>
      <c r="O15" s="41">
        <v>1.9959009999999999E-2</v>
      </c>
      <c r="P15" s="41">
        <v>2.5903802399999998E-2</v>
      </c>
      <c r="Q15" s="41">
        <v>1.583182E-2</v>
      </c>
      <c r="R15" s="41">
        <v>2.33207E-2</v>
      </c>
      <c r="S15" s="41">
        <v>4.9310240300000002E-2</v>
      </c>
    </row>
    <row r="16" spans="1:19" x14ac:dyDescent="0.25">
      <c r="A16" t="s">
        <v>30</v>
      </c>
      <c r="B16" s="41">
        <v>0.51154100000000002</v>
      </c>
      <c r="C16" s="41">
        <v>0.52920482790000001</v>
      </c>
      <c r="D16" s="41">
        <v>0.52965280400000003</v>
      </c>
      <c r="E16" s="41">
        <v>0.4822689</v>
      </c>
      <c r="F16" s="41">
        <v>0.51535449639999997</v>
      </c>
      <c r="G16" s="41">
        <v>0.48159069999999998</v>
      </c>
      <c r="H16" s="41">
        <v>0.49296469999999998</v>
      </c>
      <c r="I16" s="41">
        <v>0.50460574719999995</v>
      </c>
      <c r="K16" t="s">
        <v>30</v>
      </c>
      <c r="L16" s="41">
        <v>0.52804470000000003</v>
      </c>
      <c r="M16" s="41">
        <v>0.49122870000000002</v>
      </c>
      <c r="N16" s="41">
        <v>0.49226779999999998</v>
      </c>
      <c r="O16" s="41">
        <v>0.49481190000000003</v>
      </c>
      <c r="P16" s="41">
        <v>0.53670504429999999</v>
      </c>
      <c r="Q16" s="41">
        <v>0.51548369999999999</v>
      </c>
      <c r="R16" s="41">
        <v>0.48808950000000001</v>
      </c>
      <c r="S16" s="41">
        <v>0.51235708719999995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Calculator</vt:lpstr>
      <vt:lpstr>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2018-04-04T21:21:37Z</dcterms:created>
  <dcterms:modified xsi:type="dcterms:W3CDTF">2018-06-29T03:41:58Z</dcterms:modified>
</cp:coreProperties>
</file>