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B-CPB-01_Pin_Board-bom" sheetId="1" r:id="rId1"/>
  </sheets>
  <definedNames>
    <definedName name="BoardQty" localSheetId="0">'LCB-CPB-01_Pin_Board-bom'!$H$1</definedName>
    <definedName name="PURCHASE_DESCRIPTION" localSheetId="0">'LCB-CPB-01_Pin_Board-bom'!$H$12</definedName>
    <definedName name="TotalCost" localSheetId="0">'LCB-CPB-01_Pin_Board-bom'!$H$3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I7" authorId="0">
      <text>
        <r>
          <rPr>
            <sz val="8"/>
            <color indexed="81"/>
            <rFont val="Tahoma"/>
            <family val="2"/>
          </rPr>
          <t>184 Auf Lager</t>
        </r>
      </text>
    </comment>
    <comment ref="K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€9.44      €9.44
    10   €9.03     €90.30
    25   €7.80    €195.00
   100   €7.66    €766.00
   275   €7.59  €2,087.25
   550   €7.19  €3,954.50
   825   €6.35  €5,238.75</t>
        </r>
      </text>
    </comment>
    <comment ref="N7" authorId="0">
      <text>
        <r>
          <rPr>
            <sz val="8"/>
            <color indexed="81"/>
            <rFont val="Tahoma"/>
            <family val="2"/>
          </rPr>
          <t>Desc: Platine-zu-Platine &amp; Mezzanine-Steckverbinder 0.50 mm Edge Rate Rugged High Speed Terminal</t>
        </r>
      </text>
    </comment>
    <comment ref="I8" authorId="0">
      <text>
        <r>
          <rPr>
            <sz val="8"/>
            <color indexed="81"/>
            <rFont val="Tahoma"/>
            <family val="2"/>
          </rPr>
          <t>192 Auf Lager</t>
        </r>
      </text>
    </comment>
    <comment ref="K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€2.49      €2.49
    10   €2.25     €22.50
   100   €1.98    €198.00
   250   €1.74    €435.00
   500   €1.68    €840.00
  1000   €1.44  €1,440.00
  2500   €1.40  €3,500.00</t>
        </r>
      </text>
    </comment>
    <comment ref="N8" authorId="0">
      <text>
        <r>
          <rPr>
            <sz val="8"/>
            <color indexed="81"/>
            <rFont val="Tahoma"/>
            <family val="2"/>
          </rPr>
          <t>Desc: Sockel &amp; Kabelgehäuse 60P STR DR TMT HDR .76 AU .45IN LENGTH</t>
        </r>
      </text>
    </comment>
    <comment ref="I9" authorId="0">
      <text>
        <r>
          <rPr>
            <sz val="8"/>
            <color indexed="81"/>
            <rFont val="Tahoma"/>
            <family val="2"/>
          </rPr>
          <t>231183 Auf Lager</t>
        </r>
      </text>
    </comment>
    <comment ref="K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€0.31      €0.31
    25   €0.25      €6.33
   100   €0.21     €20.80
   250   €0.19     €46.75
   500   €0.18     €89.50
  1000   €0.15    €148.00
  2000   €0.14    €270.00
  5000   €0.13    €630.00
 10000   €0.12  €1,180.00</t>
        </r>
      </text>
    </comment>
    <comment ref="N9" authorId="0">
      <text>
        <r>
          <rPr>
            <sz val="8"/>
            <color indexed="81"/>
            <rFont val="Tahoma"/>
            <family val="2"/>
          </rPr>
          <t>Desc: Prüfstecker und Messbuchsen TEST POINT</t>
        </r>
      </text>
    </comment>
    <comment ref="G11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1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12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<sst xmlns="http://schemas.openxmlformats.org/spreadsheetml/2006/main" count="52" uniqueCount="46">
  <si>
    <t>Global Part Info</t>
  </si>
  <si>
    <t>Refs</t>
  </si>
  <si>
    <t>Value</t>
  </si>
  <si>
    <t>Footprint</t>
  </si>
  <si>
    <t>Manf</t>
  </si>
  <si>
    <t>Manf#</t>
  </si>
  <si>
    <t>Qty</t>
  </si>
  <si>
    <t>Unit$</t>
  </si>
  <si>
    <t>Ext$</t>
  </si>
  <si>
    <t>J1,J2</t>
  </si>
  <si>
    <t>ERM5-075-05.0-L-DV-K-TR</t>
  </si>
  <si>
    <t>ERM5-075-05.0-L-DV</t>
  </si>
  <si>
    <t>Samtec</t>
  </si>
  <si>
    <t>J3-J5</t>
  </si>
  <si>
    <t>02x30_Row_Letter_Last</t>
  </si>
  <si>
    <t>PinHeader_2x30_P2.54mm_Vertical</t>
  </si>
  <si>
    <t>Amphenol</t>
  </si>
  <si>
    <t>77313-118-60LF</t>
  </si>
  <si>
    <t>TP1-TP7</t>
  </si>
  <si>
    <t>TP_Keystone_Electronics_5019</t>
  </si>
  <si>
    <t>TestPoint_KeystoneElectronics5019</t>
  </si>
  <si>
    <t>Keystone Electronics</t>
  </si>
  <si>
    <t>5019</t>
  </si>
  <si>
    <t>Mouser</t>
  </si>
  <si>
    <t>Avail</t>
  </si>
  <si>
    <t>Purch</t>
  </si>
  <si>
    <t>MOQ</t>
  </si>
  <si>
    <t>Cat#</t>
  </si>
  <si>
    <t>200-ERM5075050LDVKTR</t>
  </si>
  <si>
    <t>649-77313-118-60LF</t>
  </si>
  <si>
    <t>534-5019</t>
  </si>
  <si>
    <t>Buy here</t>
  </si>
  <si>
    <t>Total Purchase:</t>
  </si>
  <si>
    <t>Purchase description:</t>
  </si>
  <si>
    <t>Prj:</t>
  </si>
  <si>
    <t>LCB-CPB-01: Pin_Borad</t>
  </si>
  <si>
    <t>Co.:</t>
  </si>
  <si>
    <t>PADERBORN UNIVERSITY DEPARTMENT OF POWER ELECTRONICS AND ELECTRICAL DRIVES</t>
  </si>
  <si>
    <t>Prj date:</t>
  </si>
  <si>
    <t>Mi 20 Dez 2023 11:09:16 CET</t>
  </si>
  <si>
    <t>Board Qty:</t>
  </si>
  <si>
    <t>Total Cost:</t>
  </si>
  <si>
    <t>Unit Cost:</t>
  </si>
  <si>
    <t>$ date:</t>
  </si>
  <si>
    <t>2023-12-20 11:20:31</t>
  </si>
  <si>
    <t>KiCost® v1.1.18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</si>
</sst>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€#,##0.000"/>
  </numFmts>
  <fonts count="10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4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ddendocs.samtec.com/prints/erm5-xxx-xx.x-dv-xx-tr-footprint.pdf" TargetMode="External"/><Relationship Id="rId2" Type="http://schemas.openxmlformats.org/officeDocument/2006/relationships/hyperlink" Target="https://www.mouser.de/ProductDetail/Samtec/ERM5-075-05.0-L-DV-K-TR?qs=PB6%2FjmICvI31GHfBJZuD3w%3D%3D" TargetMode="External"/><Relationship Id="rId3" Type="http://schemas.openxmlformats.org/officeDocument/2006/relationships/hyperlink" Target="https://www.mouser.de/datasheet/2/18/1/bwb_bergstik-2584943.pdf" TargetMode="External"/><Relationship Id="rId4" Type="http://schemas.openxmlformats.org/officeDocument/2006/relationships/hyperlink" Target="https://eu.mouser.com/ProductDetail/Amphenol-FCI/77313-118-60LF?qs=xJiur%252Bgubk17gK0qL2Xi0A%3D%3D" TargetMode="External"/><Relationship Id="rId5" Type="http://schemas.openxmlformats.org/officeDocument/2006/relationships/hyperlink" Target="https://www.keyelco.com/product.cfm/product_id/1357" TargetMode="External"/><Relationship Id="rId6" Type="http://schemas.openxmlformats.org/officeDocument/2006/relationships/hyperlink" Target="https://www.mouser.de/ProductDetail/Keystone-Electronics/5019?qs=wOxb8XianXjjCAsb90Ilzw%3D%3D" TargetMode="External"/><Relationship Id="rId7" Type="http://schemas.openxmlformats.org/officeDocument/2006/relationships/hyperlink" Target="https://mouser.com/bom/" TargetMode="External"/><Relationship Id="rId8" Type="http://schemas.openxmlformats.org/officeDocument/2006/relationships/vmlDrawing" Target="../drawings/vmlDrawing1.vm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3"/>
  <cols>
    <col min="1" max="1" width="8.7109375" customWidth="1"/>
    <col min="2" max="2" width="29.7109375" customWidth="1"/>
    <col min="3" max="3" width="33.7109375" customWidth="1" outlineLevel="2"/>
    <col min="4" max="4" width="21.7109375" customWidth="1" outlineLevel="1"/>
    <col min="5" max="5" width="24.7109375" customWidth="1" outlineLevel="1"/>
    <col min="6" max="6" width="9.140625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21.7109375" customWidth="1" outlineLevel="2"/>
  </cols>
  <sheetData>
    <row r="1" spans="1:14">
      <c r="A1" s="1" t="s">
        <v>34</v>
      </c>
      <c r="B1" s="2" t="s">
        <v>35</v>
      </c>
      <c r="G1" s="3" t="s">
        <v>40</v>
      </c>
      <c r="H1" s="3">
        <v>100</v>
      </c>
    </row>
    <row r="2" spans="1:14">
      <c r="A2" s="1" t="s">
        <v>36</v>
      </c>
      <c r="B2" s="2" t="s">
        <v>37</v>
      </c>
      <c r="G2" s="1" t="s">
        <v>42</v>
      </c>
      <c r="H2" s="4">
        <f>TotalCost/BoardQty</f>
        <v>21.793</v>
      </c>
    </row>
    <row r="3" spans="1:14">
      <c r="A3" s="1" t="s">
        <v>38</v>
      </c>
      <c r="B3" s="2" t="s">
        <v>39</v>
      </c>
      <c r="G3" s="1" t="s">
        <v>41</v>
      </c>
      <c r="H3" s="5">
        <f>SUM(H7:H9)</f>
        <v>2179.3</v>
      </c>
      <c r="M3" s="5">
        <f>SUM(M7:M9)</f>
        <v>2179.3</v>
      </c>
      <c r="N3" s="6" t="str">
        <f>(COUNTA(M7:M9)&amp;" of "&amp;ROWS(M7:M9)&amp;" parts found")</f>
        <v>3 of 3 parts found</v>
      </c>
    </row>
    <row r="4" spans="1:14">
      <c r="A4" s="1" t="s">
        <v>43</v>
      </c>
      <c r="B4" s="2" t="s">
        <v>44</v>
      </c>
    </row>
    <row r="5" spans="1:14">
      <c r="A5" s="7" t="s">
        <v>0</v>
      </c>
      <c r="B5" s="7"/>
      <c r="C5" s="7"/>
      <c r="D5" s="7"/>
      <c r="E5" s="7"/>
      <c r="F5" s="7"/>
      <c r="G5" s="7"/>
      <c r="H5" s="7"/>
      <c r="I5" s="8" t="s">
        <v>23</v>
      </c>
      <c r="J5" s="8"/>
      <c r="K5" s="8"/>
      <c r="L5" s="8"/>
      <c r="M5" s="8"/>
      <c r="N5" s="8"/>
    </row>
    <row r="6" spans="1:14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24</v>
      </c>
      <c r="J6" s="9" t="s">
        <v>25</v>
      </c>
      <c r="K6" s="9" t="s">
        <v>7</v>
      </c>
      <c r="L6" s="9" t="s">
        <v>26</v>
      </c>
      <c r="M6" s="9" t="s">
        <v>8</v>
      </c>
      <c r="N6" s="9" t="s">
        <v>27</v>
      </c>
    </row>
    <row r="7" spans="1:14">
      <c r="A7" s="10" t="s">
        <v>9</v>
      </c>
      <c r="B7" s="10" t="s">
        <v>10</v>
      </c>
      <c r="C7" s="10" t="s">
        <v>11</v>
      </c>
      <c r="D7" s="10" t="s">
        <v>12</v>
      </c>
      <c r="E7" s="10" t="s">
        <v>10</v>
      </c>
      <c r="F7" s="10">
        <f>CEILING(BoardQty*2.0,1)</f>
        <v>200</v>
      </c>
      <c r="G7" s="11">
        <f>IF(MIN(K7)&lt;&gt;0,MIN(K7),"")</f>
        <v>7.66</v>
      </c>
      <c r="H7" s="12">
        <f>IF(AND(ISNUMBER(F7),ISNUMBER(G7)),F7*G7,"")</f>
        <v>1532.0</v>
      </c>
      <c r="I7" s="10">
        <v>184</v>
      </c>
      <c r="J7" s="10"/>
      <c r="K7" s="11">
        <f>IFERROR(IF(OR(J7&gt;=L7,F7&gt;=L7),LOOKUP(IF(J7="",F7,J7),{0,1,10,25,100,275,550,825},{0.0,9.44,9.03,7.8,7.66,7.59,7.19,6.35}),"MOQ="&amp;L7),"")</f>
        <v>7.66</v>
      </c>
      <c r="L7" s="10">
        <v>1</v>
      </c>
      <c r="M7" s="12">
        <f>IFERROR(IF(J7="",F7,J7)*K7,"")</f>
        <v>1532.0</v>
      </c>
      <c r="N7" s="10" t="s">
        <v>28</v>
      </c>
    </row>
    <row r="8" spans="1:14">
      <c r="A8" s="10" t="s">
        <v>13</v>
      </c>
      <c r="B8" s="10" t="s">
        <v>14</v>
      </c>
      <c r="C8" s="10" t="s">
        <v>15</v>
      </c>
      <c r="D8" s="10" t="s">
        <v>16</v>
      </c>
      <c r="E8" s="10" t="s">
        <v>17</v>
      </c>
      <c r="F8" s="10">
        <f>CEILING(BoardQty*3.0,1)</f>
        <v>300</v>
      </c>
      <c r="G8" s="11">
        <f>IF(MIN(K8)&lt;&gt;0,MIN(K8),"")</f>
        <v>1.74</v>
      </c>
      <c r="H8" s="12">
        <f>IF(AND(ISNUMBER(F8),ISNUMBER(G8)),F8*G8,"")</f>
        <v>522.0</v>
      </c>
      <c r="I8" s="10">
        <v>192</v>
      </c>
      <c r="J8" s="10"/>
      <c r="K8" s="11">
        <f>IFERROR(IF(OR(J8&gt;=L8,F8&gt;=L8),LOOKUP(IF(J8="",F8,J8),{0,1,10,100,250,500,1000,2500},{0.0,2.49,2.25,1.98,1.74,1.68,1.44,1.4}),"MOQ="&amp;L8),"")</f>
        <v>1.74</v>
      </c>
      <c r="L8" s="10">
        <v>1</v>
      </c>
      <c r="M8" s="12">
        <f>IFERROR(IF(J8="",F8,J8)*K8,"")</f>
        <v>522.0</v>
      </c>
      <c r="N8" s="10" t="s">
        <v>29</v>
      </c>
    </row>
    <row r="9" spans="1:14" ht="30" customHeight="1">
      <c r="A9" s="10" t="s">
        <v>18</v>
      </c>
      <c r="B9" s="10" t="s">
        <v>19</v>
      </c>
      <c r="C9" s="10" t="s">
        <v>20</v>
      </c>
      <c r="D9" s="10" t="s">
        <v>21</v>
      </c>
      <c r="E9" s="10" t="s">
        <v>22</v>
      </c>
      <c r="F9" s="10">
        <f>CEILING(BoardQty*7.0,1)</f>
        <v>700</v>
      </c>
      <c r="G9" s="11">
        <f>IF(MIN(K9)&lt;&gt;0,MIN(K9),"")</f>
        <v>0.179</v>
      </c>
      <c r="H9" s="12">
        <f>IF(AND(ISNUMBER(F9),ISNUMBER(G9)),F9*G9,"")</f>
        <v>125.3</v>
      </c>
      <c r="I9" s="10">
        <v>231183</v>
      </c>
      <c r="J9" s="10"/>
      <c r="K9" s="11">
        <f>IFERROR(IF(OR(J9&gt;=L9,F9&gt;=L9),LOOKUP(IF(J9="",F9,J9),{0,1,25,100,250,500,1000,2000,5000,10000},{0.0,0.307,0.253,0.208,0.187,0.179,0.148,0.135,0.126,0.118}),"MOQ="&amp;L9),"")</f>
        <v>0.179</v>
      </c>
      <c r="L9" s="10">
        <v>1</v>
      </c>
      <c r="M9" s="12">
        <f>IFERROR(IF(J9="",F9,J9)*K9,"")</f>
        <v>125.3</v>
      </c>
      <c r="N9" s="10" t="s">
        <v>30</v>
      </c>
    </row>
    <row r="11" spans="1:14">
      <c r="G11" s="1" t="s">
        <v>32</v>
      </c>
      <c r="H11" s="5">
        <f>SUM(M11)</f>
        <v>0</v>
      </c>
      <c r="I11" s="13" t="s">
        <v>31</v>
      </c>
      <c r="J11" s="6">
        <f>IFERROR(IF(COUNTIF(J7:J9,"&gt;0")&gt;0,COUNTIF(J7:J9,"&gt;0")&amp;" of "&amp;(ROWS(L7:L9)-COUNTBLANK(L7:L9))&amp;" parts purchased",""),"")</f>
        <v/>
      </c>
      <c r="M11" s="5">
        <f>SUMIF(J7:J9,"&gt;0",M7:M9)</f>
        <v>0</v>
      </c>
    </row>
    <row r="12" spans="1:14">
      <c r="A12" s="2" t="s">
        <v>45</v>
      </c>
      <c r="G12" s="14" t="s">
        <v>33</v>
      </c>
      <c r="J12" s="15">
        <f>CONCATENATE(J16,J17,J18)</f>
        <v/>
      </c>
    </row>
    <row r="16" spans="1:14" ht="30" hidden="1" customHeight="1">
      <c r="J16" t="str">
        <f t="array" ref="J16:J18">IF(ISNUMBER(J7:J9)*(J7:J9&gt;=L7:L9)*(N7:N9&lt;&gt;""),N7:N9&amp;"|"&amp;TEXT(ROUNDUP(J7:J9/IF(ISNUMBER(L7:L9),L7:L9,1),0)*L7:L9,"##0")&amp;"|"&amp;SUBSTITUTE(SUBSTITUTE(SUBSTITUTE(IF(PURCHASE_DESCRIPTION&lt;&gt;"",PURCHASE_DESCRIPTION&amp;":","")&amp;A7:A9,"|",";")," ","_"),"
","_")&amp;CHAR(10),"")</f>
        <v/>
      </c>
    </row>
    <row r="17" spans="10:10" ht="30" hidden="1" customHeight="1">
      <c r="J17">
        <v>0</v>
      </c>
    </row>
    <row r="18" spans="10:10" ht="30" hidden="1" customHeight="1">
      <c r="J18">
        <v>0</v>
      </c>
    </row>
  </sheetData>
  <mergeCells count="3">
    <mergeCell ref="A5:H5"/>
    <mergeCell ref="I5:N5"/>
    <mergeCell ref="J12:M15"/>
  </mergeCells>
  <conditionalFormatting sqref="F7">
    <cfRule type="expression" dxfId="2" priority="7">
      <formula>AND(ISBLANK(E7),ISBLANK(M7))</formula>
    </cfRule>
    <cfRule type="expression" dxfId="1" priority="8">
      <formula>IF(SUM(I7)=0,1,0)</formula>
    </cfRule>
    <cfRule type="cellIs" dxfId="0" priority="9" operator="greaterThan">
      <formula>SUM(I7)</formula>
    </cfRule>
    <cfRule type="cellIs" dxfId="3" priority="10" operator="greaterThan">
      <formula>SUM(IF(ISNUMBER(K7),J7,0))</formula>
    </cfRule>
  </conditionalFormatting>
  <conditionalFormatting sqref="F8">
    <cfRule type="expression" dxfId="2" priority="11">
      <formula>AND(ISBLANK(E8),ISBLANK(M8))</formula>
    </cfRule>
    <cfRule type="expression" dxfId="1" priority="12">
      <formula>IF(SUM(I8)=0,1,0)</formula>
    </cfRule>
    <cfRule type="cellIs" dxfId="0" priority="13" operator="greaterThan">
      <formula>SUM(I8)</formula>
    </cfRule>
    <cfRule type="cellIs" dxfId="3" priority="14" operator="greaterThan">
      <formula>SUM(IF(ISNUMBER(K8),J8,0))</formula>
    </cfRule>
  </conditionalFormatting>
  <conditionalFormatting sqref="F9">
    <cfRule type="expression" dxfId="2" priority="15">
      <formula>AND(ISBLANK(E9),ISBLANK(M9))</formula>
    </cfRule>
    <cfRule type="expression" dxfId="1" priority="16">
      <formula>IF(SUM(I9)=0,1,0)</formula>
    </cfRule>
    <cfRule type="cellIs" dxfId="0" priority="17" operator="greaterThan">
      <formula>SUM(I9)</formula>
    </cfRule>
    <cfRule type="cellIs" dxfId="3" priority="18" operator="greaterThan">
      <formula>SUM(IF(ISNUMBER(K9),J9,0))</formula>
    </cfRule>
  </conditionalFormatting>
  <conditionalFormatting sqref="I7">
    <cfRule type="cellIs" dxfId="0" priority="1" operator="lessThan">
      <formula>F7</formula>
    </cfRule>
  </conditionalFormatting>
  <conditionalFormatting sqref="I8">
    <cfRule type="cellIs" dxfId="0" priority="3" operator="lessThan">
      <formula>F8</formula>
    </cfRule>
  </conditionalFormatting>
  <conditionalFormatting sqref="I9">
    <cfRule type="cellIs" dxfId="0" priority="5" operator="lessThan">
      <formula>F9</formula>
    </cfRule>
  </conditionalFormatting>
  <conditionalFormatting sqref="J7">
    <cfRule type="expression" dxfId="1" priority="2">
      <formula>AND(NOT(ISBLANK(J7)),OR(I7="NonStk",J7&gt;I7))</formula>
    </cfRule>
  </conditionalFormatting>
  <conditionalFormatting sqref="J8">
    <cfRule type="expression" dxfId="1" priority="4">
      <formula>AND(NOT(ISBLANK(J8)),OR(I8="NonStk",J8&gt;I8))</formula>
    </cfRule>
  </conditionalFormatting>
  <conditionalFormatting sqref="J9">
    <cfRule type="expression" dxfId="1" priority="6">
      <formula>AND(NOT(ISBLANK(J9)),OR(I9="NonStk",J9&gt;I9))</formula>
    </cfRule>
  </conditionalFormatting>
  <hyperlinks>
    <hyperlink ref="E7" r:id="rId1"/>
    <hyperlink ref="N7" r:id="rId2"/>
    <hyperlink ref="E8" r:id="rId3"/>
    <hyperlink ref="N8" r:id="rId4"/>
    <hyperlink ref="E9" r:id="rId5"/>
    <hyperlink ref="N9" r:id="rId6"/>
    <hyperlink ref="I11" r:id="rId7"/>
  </hyperlinks>
  <pageMargins left="0.7" right="0.7" top="0.75" bottom="0.75" header="0.3" footer="0.3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LCB-CPB-01_Pin_Board-bom</vt:lpstr>
      <vt:lpstr>'LCB-CPB-01_Pin_Board-bom'!BoardQty</vt:lpstr>
      <vt:lpstr>'LCB-CPB-01_Pin_Board-bom'!PURCHASE_DESCRIPTION</vt:lpstr>
      <vt:lpstr>'LCB-CPB-01_Pin_Board-bom'!TotalCost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2023-12-20T10:20:31Z</dcterms:created>
  <dcterms:modified xsi:type="dcterms:W3CDTF">2023-12-20T10:20:31Z</dcterms:modified>
</cp:coreProperties>
</file>